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7965" tabRatio="627" activeTab="1"/>
  </bookViews>
  <sheets>
    <sheet name="Ampop Verj" sheetId="1" r:id="rId1"/>
    <sheet name="Ampop" sheetId="2" r:id="rId2"/>
  </sheets>
  <definedNames/>
  <calcPr fullCalcOnLoad="1"/>
</workbook>
</file>

<file path=xl/sharedStrings.xml><?xml version="1.0" encoding="utf-8"?>
<sst xmlns="http://schemas.openxmlformats.org/spreadsheetml/2006/main" count="160" uniqueCount="82">
  <si>
    <t>ÀÝ¹³Ù»ÝÁ</t>
  </si>
  <si>
    <t>²ñï³ë³ÑÙ³ÝÛ³Ý ·áñÍáõÕáõÙ</t>
  </si>
  <si>
    <t>àôÕ»µ»éÇ ³í»É ù³ßÇ ÷áËÑ³ïáõóáõÙ</t>
  </si>
  <si>
    <t>´Ý³Ïí³ñÓÇ ÷áËÑ³ïáõóáõÙ</t>
  </si>
  <si>
    <t>î³ñ»Ï³Ý Í³ËëÁ (Ñ³½.¹ñ³Ù)</t>
  </si>
  <si>
    <t>ÀÝ¹Ñ³Ýáõñ</t>
  </si>
  <si>
    <t>Ð²ØºØ²î²Î²Ü îºÔºÎ²¶Æð</t>
  </si>
  <si>
    <t>¸ñ³Ù³Ï³Ý ³å³ÑáíáõÃÛáõÝ</t>
  </si>
  <si>
    <t>1 ³Ùëí³ ³ñÓ³Ïáõñ¹Ç ¹ñ³Ù³Ï³Ý ³å³ÑáíáõÃÛáõÝ</t>
  </si>
  <si>
    <t>Ðñ³íÇñí³Í Ù³ëÝ³·»ïÝ»ñ (Å³Ù)</t>
  </si>
  <si>
    <t>I</t>
  </si>
  <si>
    <t>¸ñ³Ù³Ï³Ý ³å³ÑáíáõÃÛáõÝ ÁÝ¹³Ù»ÝÁ, ³Û¹ ÃíáõÙ`</t>
  </si>
  <si>
    <t>ÐÇÙÝ³Ï³Ý ã³÷Á (å³ßïáÝ³ÛÇÝ ¹ñáõÛù ¨ Éñ³í×³ñ), áñÇó`</t>
  </si>
  <si>
    <t>è¸ Ïáõñë³Ýï</t>
  </si>
  <si>
    <t>ÐÞ¸</t>
  </si>
  <si>
    <t>è¸     êå³-áõÝÏÝ¹ÇñÝ»ñ</t>
  </si>
  <si>
    <t>²ÛÉ »ñÏñÝ»ñ  êå³-áõÝÏÝ¹ÇñÝ»ñ</t>
  </si>
  <si>
    <t xml:space="preserve">Ì³é³ÛáõÃÛ³Ý ·áñÍáõÕí³Í ëå³Ý»ñ </t>
  </si>
  <si>
    <t>ÐÞ¸ ëå³Ý»ñ</t>
  </si>
  <si>
    <t>1.</t>
  </si>
  <si>
    <t>2.</t>
  </si>
  <si>
    <t>Ð³í»ÉáõÙÝ»ñ, áñÇó`</t>
  </si>
  <si>
    <t>Ì³é³ÛáõÃÛ³Ý ·áñÍáõÕí³Í ëå³Ý»ñ</t>
  </si>
  <si>
    <t>II</t>
  </si>
  <si>
    <t>êå³-áõÝÏÝ¹ÇñÝ»ñ ¨ Ýñ³Ýó ÁÝï³ÝÇùÇ ³Ý¹³ÙÝ»ñ</t>
  </si>
  <si>
    <t>¶áñÍáõÕí³Í ëå³Ý»ñ</t>
  </si>
  <si>
    <t>è¸ Ïáõë³ÝïÝ»ñ</t>
  </si>
  <si>
    <t>²ÛÉ »ñÏñÝ»ñÇ Ïáõñë³ÝïÝ»ñ</t>
  </si>
  <si>
    <t xml:space="preserve"> äÜ Î ¨ èÎì ëå³Ý»ñ</t>
  </si>
  <si>
    <t>3.</t>
  </si>
  <si>
    <t>4.</t>
  </si>
  <si>
    <t>è¸ èàôÐ Í³é³ÛáõÃÛ³Ý ·áñÍáõÕí³Í ½ÇÝÍ³é³ÛáÕÝ»ñ</t>
  </si>
  <si>
    <t>²íÇ³ïáÙë»ñ, áñÇó`</t>
  </si>
  <si>
    <t>êå³-áõÝÏÝ¹ÇñÝ»ñ</t>
  </si>
  <si>
    <t xml:space="preserve"> ²íïáµáõëÇ ¨ ·Ý³óùÇ ïáÙë»ñ, áñÇó`</t>
  </si>
  <si>
    <t>1 ³Ùëí³ ³ñÓ³Ïáõñ¹Ç ¹ñ³-Ù³Ï³Ý ³å³ÑáíáõÃÛáõÝ, áñÇó`</t>
  </si>
  <si>
    <t>ÐáõÝ³ëï³ÝÇ Ïáõñë³ÝïÝ»ñÇ Ï»óáõÃÛáõÝ</t>
  </si>
  <si>
    <t>àõëÙ³Ý ·áñÍáõÕí³ÍÝ»ñ-è¸</t>
  </si>
  <si>
    <t>àõëÙ³Ý ·áñÍáõÕí³ÍÝ»ñ-³ÛÉ úä</t>
  </si>
  <si>
    <t>úñ³å³ÑÇÏ, áñÇó</t>
  </si>
  <si>
    <t>è¸ èàôÐ-»ñ Í³é³ÛáõÃÛ³Ý ·áñÍáõÕí³Í ½ÇÝÍ³é³ÛáÕÝ»ñ</t>
  </si>
  <si>
    <t>äÜ Î ¨ èÎì ³ßË³ï³ÏÇóÝ»ñ</t>
  </si>
  <si>
    <t>è¸ ù. èáõ½³ ·áñÍáõÕí³ÍÝ»ñ</t>
  </si>
  <si>
    <t>¶Çß»ñ³í³ñÓ, áñÇó</t>
  </si>
  <si>
    <t>Ð³í»É³í×³ñ Ññ. 712</t>
  </si>
  <si>
    <t>2020Ã. ØÄÌÌ</t>
  </si>
  <si>
    <t>²ÛÉ »ñÏñÝ»ñÇ Ïáõñë³Ýï</t>
  </si>
  <si>
    <t>è¸ èàôÐ Í³é³ÛáõÃÛ³Ý ·áñÍáõÕí³Í ½ÇÝÍ³é³ÛáÕÝ»ñ ¨ Ýñ³Ýó ÁÝï. ³Ý¹³ÙÝ»ñ</t>
  </si>
  <si>
    <t>Ð/Ñ</t>
  </si>
  <si>
    <t>Ì³Ëë³ÛÇÝ áõÕÕáõÃÛáõÝÁ</t>
  </si>
  <si>
    <t>â³÷Ç ÙÇ³íáñÁ</t>
  </si>
  <si>
    <t xml:space="preserve">ù³Ý³ÏÁ </t>
  </si>
  <si>
    <t>Ù³ñ¹</t>
  </si>
  <si>
    <t xml:space="preserve">Ðñ³íÇñí³Í Ù³ëÝ³·»ïÝ»ñ </t>
  </si>
  <si>
    <t>Å³Ù</t>
  </si>
  <si>
    <t>Ñ³ï</t>
  </si>
  <si>
    <t>Ï·</t>
  </si>
  <si>
    <t>Ù³ñ¹/ûñ</t>
  </si>
  <si>
    <t xml:space="preserve">  ØÇç³½·³ÛÇÝ ûÉÇÙåÇ³¹³Ý»ñÇÝ Ù³ëÝ³ÏóáõÃÛáõÝ</t>
  </si>
  <si>
    <t>III</t>
  </si>
  <si>
    <t>àõëÙ³Ý í³ñÓ ¨ ÏñÃ³Ãáß³Ï</t>
  </si>
  <si>
    <t xml:space="preserve">êå³-áõÝÏÝ¹ÇñÝ»ñ ¨ Ýñ³Ýó ÁÝï³ÝÇùÝ»ñÇ ³Ý¹³ÙÝ»ñ, áõëÙ³Ý ·áñÍáõÕí³ÍÝ»ñ </t>
  </si>
  <si>
    <t xml:space="preserve">²íÇ³ïáÙë»ñ </t>
  </si>
  <si>
    <t xml:space="preserve"> ³íïáµáõëÇ ¨ ·Ý³óùÇ ïáÙë»ñ  </t>
  </si>
  <si>
    <t xml:space="preserve">àôÕ»µ»éÇ ³í»É ù³ßÇ ÷áËÑ³ïáõóáõÙ  </t>
  </si>
  <si>
    <t xml:space="preserve">úñ³å³ÑÇÏ </t>
  </si>
  <si>
    <t xml:space="preserve">¶Çß»ñ³í³ñÓ </t>
  </si>
  <si>
    <t>è¸ ù. èáõ½³ ·áñÍáõÕíáÕÝ»ñ</t>
  </si>
  <si>
    <t>è¸ ù. îí»ñ ·áñÍáõÕíáÕÐúä ½áñù»ñÇ Ñ³Ûóáñ¹</t>
  </si>
  <si>
    <t>Ð²ØºØ²î²Î²Ü îºÔºÎ²¶Æð (ամփոփ)</t>
  </si>
  <si>
    <t>2021Ã. ØÄÌÌ</t>
  </si>
  <si>
    <t>î³ñµ»ñáõÃÛáõÝÁ 2020Ã. ØÄÌÌ-Ç ÝÏ³ïÙ³Ùµ</t>
  </si>
  <si>
    <t xml:space="preserve"> èáõë³ëï³ÝÇ ¸³ßÝáõÃÛ³Ý ¨ ³ÛÉ å»ïáõÃÛáõÝÝ»ñÇ é³½Ù³áõëáõÙÝ³Ï³Ý Ñ³ëï³ïáõÃÛáõÝÝ»ñ áõëÙ³Ý áõ Í³é³ÛáõÃÛ³Ý ·áñÍáõÕí³Í Ð³Û³ëï³ÝÇ Ð³Ýñ³å»ïáõÃÛ³Ý ½ÇÝí³Í áõÅ»ñÇ ½ÇÝÍ³é³ÛáÕÝ»ñÇ 2019Ã. Ñ³ëï³ïí³Í ¨ 2020-2022ÃÃ. ØÄÌÌ óáõó³ÝÇßÝ»ñÇ</t>
  </si>
  <si>
    <t>2019Ã. Ñ³ëï³ïí³Í µÛáõç»</t>
  </si>
  <si>
    <t>î³ñµ»ñáõÃÛáõÝÁ 2019Ã. Ñ³ëï³ïí³ÍÇ ÝÏ³ïÙ³Ùµ</t>
  </si>
  <si>
    <t>è»½»ñí</t>
  </si>
  <si>
    <t>2022Ã. ØÄÌÌ</t>
  </si>
  <si>
    <t>î³ñµ»ñáõÃÛáõÝÁ 2021Ã. ØÄÌÌ-Ç ÝÏ³ïÙ³Ùµ</t>
  </si>
  <si>
    <t>´ÅßÏ³Ï³Ý ³å³Ñáí³·ñáõÃÛáõÝ ¨ Ï»óáõÃÛ³Ý ·ñ³ÝóáõÙ, áñÇó</t>
  </si>
  <si>
    <t>´ÅßÏ³Ï³Ý ³å³Ñáí³·ñáõÃÛáõÝ ¨ Ï»óáõÃÛ³Ý ·ñ³ÝóáõÙ</t>
  </si>
  <si>
    <t>Æï³ÉÇ³ÛÇ Ð³Ýñ³å»ïáõÃÛ³Ý Ïáõñë³ÝïÝ»ñ µÅßÏ³Ï³Ý ³å³Ñáí³·ñáõÃÛáõÝ ¨ Ï»óáõÃÛ³Ý ·ñ³ÝóáõÙ</t>
  </si>
  <si>
    <t>âÇÝ³ëï³ÝÇ Ð³Ýñ³å»ïáõÃÛáõÝ áõëáõÙÝ³éáõÃÛ³Ý ·áñÍáõÕíáÕ ½ÇÝÍ³é³ÛáÕÝ»ñ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</si>
</sst>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#,##0.0"/>
    <numFmt numFmtId="183" formatCode="_(* #,##0.0_);_(* \(#,##0.0\);_(* &quot;-&quot;?_);_(@_)"/>
    <numFmt numFmtId="184" formatCode="_(* #,##0.0_);_(* \(#,##0.0\);_(* &quot;-&quot;??_);_(@_)"/>
    <numFmt numFmtId="185" formatCode="_(* #,##0.00_);_(* \(#,##0.00\);_(* &quot;-&quot;?_);_(@_)"/>
    <numFmt numFmtId="186" formatCode="_(* #,##0.000_);_(* \(#,##0.000\);_(* &quot;-&quot;?_);_(@_)"/>
    <numFmt numFmtId="187" formatCode="_(* #,##0.0000_);_(* \(#,##0.0000\);_(* &quot;-&quot;?_);_(@_)"/>
    <numFmt numFmtId="188" formatCode="_(* #,##0.000_);_(* \(#,##0.000\);_(* &quot;-&quot;???_);_(@_)"/>
    <numFmt numFmtId="189" formatCode="_(* #,##0_);_(* \(#,##0\);_(* &quot;-&quot;?_);_(@_)"/>
    <numFmt numFmtId="190" formatCode="_(* #,##0.0_);_(* \(#,##0.0\);_(* &quot;-&quot;_);_(@_)"/>
    <numFmt numFmtId="191" formatCode="0.000%"/>
    <numFmt numFmtId="192" formatCode="_-* #,##0.0_р_._-;\-* #,##0.0_р_._-;_-* &quot;-&quot;?_р_._-;_-@_-"/>
    <numFmt numFmtId="193" formatCode="0.0000"/>
    <numFmt numFmtId="194" formatCode="0.0E+00"/>
    <numFmt numFmtId="195" formatCode="0E+00"/>
    <numFmt numFmtId="196" formatCode="#,##0.00000"/>
    <numFmt numFmtId="197" formatCode="0.00000"/>
    <numFmt numFmtId="198" formatCode="0.0%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Armenian"/>
      <family val="2"/>
    </font>
    <font>
      <sz val="10"/>
      <name val="Arial Armenian"/>
      <family val="2"/>
    </font>
    <font>
      <b/>
      <sz val="14"/>
      <name val="Arial Armenian"/>
      <family val="2"/>
    </font>
    <font>
      <sz val="9"/>
      <name val="Arial LatArm"/>
      <family val="2"/>
    </font>
    <font>
      <b/>
      <sz val="9"/>
      <name val="Arial Armenian"/>
      <family val="2"/>
    </font>
    <font>
      <b/>
      <sz val="10"/>
      <name val="Arial LatArm"/>
      <family val="2"/>
    </font>
    <font>
      <sz val="10"/>
      <name val="Arial LatArm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2" fontId="3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82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182" fontId="8" fillId="0" borderId="12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center" vertical="center"/>
    </xf>
    <xf numFmtId="182" fontId="9" fillId="0" borderId="13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3" fontId="9" fillId="0" borderId="14" xfId="0" applyNumberFormat="1" applyFont="1" applyBorder="1" applyAlignment="1">
      <alignment horizontal="center" vertical="center"/>
    </xf>
    <xf numFmtId="182" fontId="9" fillId="0" borderId="14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3" fontId="9" fillId="0" borderId="20" xfId="0" applyNumberFormat="1" applyFont="1" applyBorder="1" applyAlignment="1">
      <alignment horizontal="center" vertical="center"/>
    </xf>
    <xf numFmtId="182" fontId="9" fillId="0" borderId="20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182" fontId="9" fillId="0" borderId="2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3" fontId="9" fillId="0" borderId="0" xfId="65" applyFont="1" applyAlignment="1">
      <alignment horizontal="left" vertical="center"/>
    </xf>
    <xf numFmtId="43" fontId="9" fillId="0" borderId="0" xfId="42" applyFont="1" applyAlignment="1">
      <alignment/>
    </xf>
    <xf numFmtId="180" fontId="9" fillId="0" borderId="0" xfId="0" applyNumberFormat="1" applyFont="1" applyAlignment="1">
      <alignment horizontal="left" vertical="center"/>
    </xf>
    <xf numFmtId="180" fontId="9" fillId="0" borderId="0" xfId="0" applyNumberFormat="1" applyFont="1" applyAlignment="1">
      <alignment/>
    </xf>
    <xf numFmtId="182" fontId="9" fillId="0" borderId="0" xfId="0" applyNumberFormat="1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182" fontId="46" fillId="0" borderId="13" xfId="0" applyNumberFormat="1" applyFont="1" applyBorder="1" applyAlignment="1">
      <alignment horizontal="center" vertical="center"/>
    </xf>
    <xf numFmtId="0" fontId="6" fillId="0" borderId="13" xfId="58" applyFont="1" applyBorder="1">
      <alignment/>
      <protection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3" fontId="46" fillId="0" borderId="23" xfId="0" applyNumberFormat="1" applyFont="1" applyBorder="1" applyAlignment="1">
      <alignment horizontal="center" vertical="center"/>
    </xf>
    <xf numFmtId="182" fontId="46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182" fontId="46" fillId="0" borderId="25" xfId="0" applyNumberFormat="1" applyFont="1" applyBorder="1" applyAlignment="1">
      <alignment horizontal="center" vertical="center"/>
    </xf>
    <xf numFmtId="3" fontId="46" fillId="0" borderId="22" xfId="0" applyNumberFormat="1" applyFont="1" applyBorder="1" applyAlignment="1">
      <alignment horizontal="center" vertical="center"/>
    </xf>
    <xf numFmtId="180" fontId="46" fillId="0" borderId="23" xfId="0" applyNumberFormat="1" applyFont="1" applyBorder="1" applyAlignment="1">
      <alignment horizontal="center" vertical="center"/>
    </xf>
    <xf numFmtId="182" fontId="46" fillId="0" borderId="2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182" fontId="3" fillId="0" borderId="23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/>
    </xf>
    <xf numFmtId="182" fontId="3" fillId="0" borderId="21" xfId="0" applyNumberFormat="1" applyFont="1" applyBorder="1" applyAlignment="1">
      <alignment horizontal="center" vertical="center"/>
    </xf>
    <xf numFmtId="182" fontId="46" fillId="0" borderId="27" xfId="0" applyNumberFormat="1" applyFont="1" applyBorder="1" applyAlignment="1">
      <alignment horizontal="center" vertical="center"/>
    </xf>
    <xf numFmtId="3" fontId="46" fillId="0" borderId="28" xfId="0" applyNumberFormat="1" applyFont="1" applyBorder="1" applyAlignment="1">
      <alignment horizontal="center" vertical="center"/>
    </xf>
    <xf numFmtId="182" fontId="3" fillId="0" borderId="23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182" fontId="3" fillId="0" borderId="29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182" fontId="4" fillId="0" borderId="13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3" fontId="8" fillId="0" borderId="23" xfId="0" applyNumberFormat="1" applyFont="1" applyBorder="1" applyAlignment="1">
      <alignment horizontal="center" vertical="center"/>
    </xf>
    <xf numFmtId="182" fontId="8" fillId="0" borderId="23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/>
    </xf>
    <xf numFmtId="0" fontId="8" fillId="0" borderId="23" xfId="0" applyFont="1" applyBorder="1" applyAlignment="1">
      <alignment horizontal="left" vertical="center"/>
    </xf>
    <xf numFmtId="3" fontId="8" fillId="0" borderId="30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left" vertical="center"/>
    </xf>
    <xf numFmtId="0" fontId="8" fillId="0" borderId="22" xfId="0" applyFont="1" applyBorder="1" applyAlignment="1">
      <alignment/>
    </xf>
    <xf numFmtId="182" fontId="8" fillId="0" borderId="23" xfId="0" applyNumberFormat="1" applyFont="1" applyBorder="1" applyAlignment="1">
      <alignment/>
    </xf>
    <xf numFmtId="3" fontId="46" fillId="0" borderId="2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4" xfId="58" applyFont="1" applyBorder="1">
      <alignment/>
      <protection/>
    </xf>
    <xf numFmtId="3" fontId="4" fillId="0" borderId="14" xfId="0" applyNumberFormat="1" applyFont="1" applyBorder="1" applyAlignment="1">
      <alignment horizontal="center" vertical="center"/>
    </xf>
    <xf numFmtId="182" fontId="4" fillId="0" borderId="14" xfId="0" applyNumberFormat="1" applyFont="1" applyBorder="1" applyAlignment="1">
      <alignment horizontal="center" vertical="center"/>
    </xf>
    <xf numFmtId="182" fontId="4" fillId="0" borderId="21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182" fontId="4" fillId="0" borderId="20" xfId="0" applyNumberFormat="1" applyFont="1" applyBorder="1" applyAlignment="1">
      <alignment horizontal="center" vertical="center"/>
    </xf>
    <xf numFmtId="182" fontId="4" fillId="0" borderId="3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14" xfId="58" applyFont="1" applyBorder="1" applyAlignment="1">
      <alignment horizontal="left"/>
      <protection/>
    </xf>
    <xf numFmtId="0" fontId="6" fillId="0" borderId="13" xfId="58" applyFont="1" applyBorder="1" applyAlignment="1">
      <alignment horizontal="left"/>
      <protection/>
    </xf>
    <xf numFmtId="182" fontId="4" fillId="0" borderId="32" xfId="0" applyNumberFormat="1" applyFont="1" applyBorder="1" applyAlignment="1">
      <alignment horizontal="center" vertical="center"/>
    </xf>
    <xf numFmtId="0" fontId="6" fillId="0" borderId="20" xfId="58" applyFont="1" applyBorder="1">
      <alignment/>
      <protection/>
    </xf>
    <xf numFmtId="0" fontId="3" fillId="0" borderId="3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/>
    </xf>
    <xf numFmtId="182" fontId="3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80" fontId="0" fillId="0" borderId="14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180" fontId="0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80" fontId="0" fillId="0" borderId="2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182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21" xfId="58" applyFont="1" applyBorder="1">
      <alignment/>
      <protection/>
    </xf>
    <xf numFmtId="0" fontId="6" fillId="0" borderId="14" xfId="58" applyFont="1" applyBorder="1" applyAlignment="1">
      <alignment wrapText="1"/>
      <protection/>
    </xf>
    <xf numFmtId="0" fontId="4" fillId="0" borderId="14" xfId="0" applyFont="1" applyBorder="1" applyAlignment="1">
      <alignment/>
    </xf>
    <xf numFmtId="0" fontId="6" fillId="0" borderId="20" xfId="58" applyFont="1" applyBorder="1" applyAlignment="1">
      <alignment horizontal="left"/>
      <protection/>
    </xf>
    <xf numFmtId="0" fontId="6" fillId="0" borderId="21" xfId="58" applyFont="1" applyBorder="1" applyAlignment="1">
      <alignment horizontal="left"/>
      <protection/>
    </xf>
    <xf numFmtId="0" fontId="6" fillId="0" borderId="20" xfId="58" applyFont="1" applyBorder="1" applyAlignment="1">
      <alignment wrapText="1"/>
      <protection/>
    </xf>
    <xf numFmtId="0" fontId="4" fillId="0" borderId="20" xfId="0" applyFont="1" applyBorder="1" applyAlignment="1">
      <alignment/>
    </xf>
    <xf numFmtId="182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180" fontId="0" fillId="0" borderId="13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182" fontId="4" fillId="0" borderId="25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180" fontId="0" fillId="0" borderId="25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182" fontId="3" fillId="0" borderId="25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3" fillId="0" borderId="22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182" fontId="3" fillId="0" borderId="36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182" fontId="8" fillId="0" borderId="12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3" fontId="46" fillId="0" borderId="12" xfId="0" applyNumberFormat="1" applyFont="1" applyBorder="1" applyAlignment="1">
      <alignment horizontal="center" vertical="center"/>
    </xf>
    <xf numFmtId="182" fontId="46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80" fontId="3" fillId="0" borderId="23" xfId="0" applyNumberFormat="1" applyFont="1" applyBorder="1" applyAlignment="1">
      <alignment horizontal="center" vertical="center"/>
    </xf>
    <xf numFmtId="182" fontId="3" fillId="0" borderId="13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182" fontId="4" fillId="0" borderId="23" xfId="0" applyNumberFormat="1" applyFont="1" applyBorder="1" applyAlignment="1">
      <alignment horizontal="center" vertical="center"/>
    </xf>
    <xf numFmtId="182" fontId="3" fillId="0" borderId="26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182" fontId="3" fillId="0" borderId="22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82" fontId="3" fillId="0" borderId="2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ram. bavararum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Финансовый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A71" sqref="A71:IV82"/>
    </sheetView>
  </sheetViews>
  <sheetFormatPr defaultColWidth="9.140625" defaultRowHeight="12.75"/>
  <cols>
    <col min="1" max="1" width="5.421875" style="1" customWidth="1"/>
    <col min="2" max="2" width="38.57421875" style="1" customWidth="1"/>
    <col min="3" max="3" width="9.00390625" style="1" customWidth="1"/>
    <col min="4" max="4" width="9.7109375" style="1" customWidth="1"/>
    <col min="5" max="5" width="14.57421875" style="1" customWidth="1"/>
    <col min="6" max="6" width="8.57421875" style="1" customWidth="1"/>
    <col min="7" max="7" width="12.7109375" style="1" customWidth="1"/>
    <col min="8" max="8" width="8.57421875" style="1" customWidth="1"/>
    <col min="9" max="9" width="10.8515625" style="1" customWidth="1"/>
    <col min="10" max="10" width="9.28125" style="1" customWidth="1"/>
    <col min="11" max="11" width="12.7109375" style="1" customWidth="1"/>
    <col min="12" max="12" width="9.28125" style="1" customWidth="1"/>
    <col min="13" max="13" width="12.140625" style="1" customWidth="1"/>
    <col min="14" max="14" width="9.28125" style="1" customWidth="1"/>
    <col min="15" max="15" width="12.57421875" style="1" customWidth="1"/>
    <col min="16" max="16" width="9.00390625" style="1" customWidth="1"/>
    <col min="17" max="17" width="10.7109375" style="1" customWidth="1"/>
    <col min="18" max="16384" width="9.140625" style="1" customWidth="1"/>
  </cols>
  <sheetData>
    <row r="1" spans="1:17" ht="18">
      <c r="A1" s="176" t="s">
        <v>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17" ht="32.25" customHeight="1" thickBot="1">
      <c r="A2" s="177" t="s">
        <v>72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9"/>
      <c r="Q2" s="7"/>
    </row>
    <row r="3" spans="1:17" ht="51" customHeight="1">
      <c r="A3" s="178" t="s">
        <v>48</v>
      </c>
      <c r="B3" s="180" t="s">
        <v>49</v>
      </c>
      <c r="C3" s="185" t="s">
        <v>50</v>
      </c>
      <c r="D3" s="182" t="s">
        <v>73</v>
      </c>
      <c r="E3" s="183"/>
      <c r="F3" s="184" t="s">
        <v>45</v>
      </c>
      <c r="G3" s="184"/>
      <c r="H3" s="182" t="s">
        <v>74</v>
      </c>
      <c r="I3" s="183"/>
      <c r="J3" s="184" t="s">
        <v>70</v>
      </c>
      <c r="K3" s="184"/>
      <c r="L3" s="182" t="s">
        <v>71</v>
      </c>
      <c r="M3" s="183"/>
      <c r="N3" s="184" t="s">
        <v>76</v>
      </c>
      <c r="O3" s="187"/>
      <c r="P3" s="182" t="s">
        <v>77</v>
      </c>
      <c r="Q3" s="183"/>
    </row>
    <row r="4" spans="1:17" ht="45" customHeight="1" thickBot="1">
      <c r="A4" s="179"/>
      <c r="B4" s="181"/>
      <c r="C4" s="186"/>
      <c r="D4" s="2" t="s">
        <v>51</v>
      </c>
      <c r="E4" s="2" t="s">
        <v>4</v>
      </c>
      <c r="F4" s="2" t="s">
        <v>51</v>
      </c>
      <c r="G4" s="2" t="s">
        <v>4</v>
      </c>
      <c r="H4" s="2" t="s">
        <v>51</v>
      </c>
      <c r="I4" s="2" t="s">
        <v>4</v>
      </c>
      <c r="J4" s="2" t="s">
        <v>51</v>
      </c>
      <c r="K4" s="2" t="s">
        <v>4</v>
      </c>
      <c r="L4" s="2" t="s">
        <v>51</v>
      </c>
      <c r="M4" s="2" t="s">
        <v>4</v>
      </c>
      <c r="N4" s="2" t="s">
        <v>51</v>
      </c>
      <c r="O4" s="3" t="s">
        <v>4</v>
      </c>
      <c r="P4" s="2" t="s">
        <v>51</v>
      </c>
      <c r="Q4" s="2" t="s">
        <v>4</v>
      </c>
    </row>
    <row r="5" spans="1:17" ht="30" customHeight="1" thickBot="1">
      <c r="A5" s="74" t="s">
        <v>10</v>
      </c>
      <c r="B5" s="75" t="s">
        <v>11</v>
      </c>
      <c r="C5" s="75"/>
      <c r="D5" s="68">
        <f>+D6+D14+D22+D28</f>
        <v>794</v>
      </c>
      <c r="E5" s="68">
        <f>E6+E14+E22+E28</f>
        <v>906633.725</v>
      </c>
      <c r="F5" s="68">
        <f aca="true" t="shared" si="0" ref="F5:P5">+F6+F14+F22+F28</f>
        <v>829</v>
      </c>
      <c r="G5" s="68">
        <f>+G6+G14+G22+G28</f>
        <v>872565.017</v>
      </c>
      <c r="H5" s="68">
        <f t="shared" si="0"/>
        <v>35</v>
      </c>
      <c r="I5" s="68">
        <f>+I6+I14+I22+I28</f>
        <v>-34068.707999999955</v>
      </c>
      <c r="J5" s="68">
        <f t="shared" si="0"/>
        <v>822</v>
      </c>
      <c r="K5" s="68">
        <f>+K6+K14+K22+K28</f>
        <v>871984.7069999999</v>
      </c>
      <c r="L5" s="68">
        <f t="shared" si="0"/>
        <v>-7</v>
      </c>
      <c r="M5" s="68">
        <f>+M6+M14+M22+M28</f>
        <v>-580.3099999999977</v>
      </c>
      <c r="N5" s="68">
        <f t="shared" si="0"/>
        <v>812</v>
      </c>
      <c r="O5" s="68">
        <f>+O6+O14+O22+O28</f>
        <v>870399.097</v>
      </c>
      <c r="P5" s="76">
        <f t="shared" si="0"/>
        <v>-10</v>
      </c>
      <c r="Q5" s="68">
        <f>+Q6+Q14+Q22+Q28</f>
        <v>-1585.6100000000006</v>
      </c>
    </row>
    <row r="6" spans="1:17" s="51" customFormat="1" ht="29.25" customHeight="1" thickBot="1">
      <c r="A6" s="46" t="s">
        <v>19</v>
      </c>
      <c r="B6" s="77" t="s">
        <v>12</v>
      </c>
      <c r="C6" s="78" t="s">
        <v>52</v>
      </c>
      <c r="D6" s="49">
        <f>SUM(D7:D13)</f>
        <v>316</v>
      </c>
      <c r="E6" s="50">
        <f>SUM(E7:E13)</f>
        <v>625111.798</v>
      </c>
      <c r="F6" s="49">
        <f>SUM(F7:F12)</f>
        <v>342</v>
      </c>
      <c r="G6" s="50">
        <f>SUM(G7:G12)</f>
        <v>597129.36</v>
      </c>
      <c r="H6" s="49">
        <f aca="true" t="shared" si="1" ref="H6:I14">+F6-D6</f>
        <v>26</v>
      </c>
      <c r="I6" s="50">
        <f t="shared" si="1"/>
        <v>-27982.437999999966</v>
      </c>
      <c r="J6" s="49">
        <f>SUM(J7:J12)</f>
        <v>342</v>
      </c>
      <c r="K6" s="50">
        <f>SUM(K7:K12)</f>
        <v>597129.36</v>
      </c>
      <c r="L6" s="49">
        <f aca="true" t="shared" si="2" ref="L6:M14">+J6-F6</f>
        <v>0</v>
      </c>
      <c r="M6" s="50">
        <f t="shared" si="2"/>
        <v>0</v>
      </c>
      <c r="N6" s="49">
        <f>SUM(N7:N12)</f>
        <v>342</v>
      </c>
      <c r="O6" s="55">
        <f>SUM(O7:O12)</f>
        <v>597129.36</v>
      </c>
      <c r="P6" s="53">
        <f>+N6-J6</f>
        <v>0</v>
      </c>
      <c r="Q6" s="52">
        <f>+O6-K6</f>
        <v>0</v>
      </c>
    </row>
    <row r="7" spans="1:17" ht="17.25" customHeight="1">
      <c r="A7" s="99"/>
      <c r="B7" s="40" t="s">
        <v>13</v>
      </c>
      <c r="C7" s="40"/>
      <c r="D7" s="80">
        <v>170</v>
      </c>
      <c r="E7" s="81">
        <f>D7*10*12</f>
        <v>20400</v>
      </c>
      <c r="F7" s="80">
        <v>185</v>
      </c>
      <c r="G7" s="81">
        <f>F7*10*12</f>
        <v>22200</v>
      </c>
      <c r="H7" s="80">
        <f t="shared" si="1"/>
        <v>15</v>
      </c>
      <c r="I7" s="81">
        <f t="shared" si="1"/>
        <v>1800</v>
      </c>
      <c r="J7" s="80">
        <v>185</v>
      </c>
      <c r="K7" s="81">
        <f>J7*10*12</f>
        <v>22200</v>
      </c>
      <c r="L7" s="80">
        <f t="shared" si="2"/>
        <v>0</v>
      </c>
      <c r="M7" s="81">
        <f t="shared" si="2"/>
        <v>0</v>
      </c>
      <c r="N7" s="80">
        <v>185</v>
      </c>
      <c r="O7" s="81">
        <f>N7*10*12</f>
        <v>22200</v>
      </c>
      <c r="P7" s="80">
        <f aca="true" t="shared" si="3" ref="P7:P12">+N7-J7</f>
        <v>0</v>
      </c>
      <c r="Q7" s="81">
        <f aca="true" t="shared" si="4" ref="Q7:Q12">+O7-K7</f>
        <v>0</v>
      </c>
    </row>
    <row r="8" spans="1:17" ht="17.25" customHeight="1">
      <c r="A8" s="99"/>
      <c r="B8" s="100" t="s">
        <v>46</v>
      </c>
      <c r="C8" s="40"/>
      <c r="D8" s="80">
        <v>16</v>
      </c>
      <c r="E8" s="81">
        <f>D8*100*12</f>
        <v>19200</v>
      </c>
      <c r="F8" s="80">
        <v>20</v>
      </c>
      <c r="G8" s="81">
        <f>F8*100*12</f>
        <v>24000</v>
      </c>
      <c r="H8" s="80">
        <f t="shared" si="1"/>
        <v>4</v>
      </c>
      <c r="I8" s="81">
        <f t="shared" si="1"/>
        <v>4800</v>
      </c>
      <c r="J8" s="80">
        <v>20</v>
      </c>
      <c r="K8" s="81">
        <f>J8*100*12</f>
        <v>24000</v>
      </c>
      <c r="L8" s="80">
        <f t="shared" si="2"/>
        <v>0</v>
      </c>
      <c r="M8" s="81">
        <f t="shared" si="2"/>
        <v>0</v>
      </c>
      <c r="N8" s="80">
        <v>20</v>
      </c>
      <c r="O8" s="81">
        <f>N8*100*12</f>
        <v>24000</v>
      </c>
      <c r="P8" s="101">
        <f t="shared" si="3"/>
        <v>0</v>
      </c>
      <c r="Q8" s="102">
        <f t="shared" si="4"/>
        <v>0</v>
      </c>
    </row>
    <row r="9" spans="1:17" ht="17.25" customHeight="1">
      <c r="A9" s="99"/>
      <c r="B9" s="100" t="s">
        <v>18</v>
      </c>
      <c r="C9" s="40"/>
      <c r="D9" s="80">
        <v>19</v>
      </c>
      <c r="E9" s="81">
        <f>D9*12*343.726</f>
        <v>78369.528</v>
      </c>
      <c r="F9" s="80">
        <v>20</v>
      </c>
      <c r="G9" s="81">
        <f>E9/D9*F9</f>
        <v>82494.24</v>
      </c>
      <c r="H9" s="80">
        <f t="shared" si="1"/>
        <v>1</v>
      </c>
      <c r="I9" s="81">
        <f t="shared" si="1"/>
        <v>4124.7119999999995</v>
      </c>
      <c r="J9" s="80">
        <v>20</v>
      </c>
      <c r="K9" s="81">
        <f>E9/D9*J9</f>
        <v>82494.24</v>
      </c>
      <c r="L9" s="80">
        <f t="shared" si="2"/>
        <v>0</v>
      </c>
      <c r="M9" s="81">
        <f t="shared" si="2"/>
        <v>0</v>
      </c>
      <c r="N9" s="80">
        <v>20</v>
      </c>
      <c r="O9" s="81">
        <f>E9/D9*N9</f>
        <v>82494.24</v>
      </c>
      <c r="P9" s="101">
        <f t="shared" si="3"/>
        <v>0</v>
      </c>
      <c r="Q9" s="102">
        <f t="shared" si="4"/>
        <v>0</v>
      </c>
    </row>
    <row r="10" spans="1:17" ht="17.25" customHeight="1">
      <c r="A10" s="99"/>
      <c r="B10" s="100" t="s">
        <v>15</v>
      </c>
      <c r="C10" s="40"/>
      <c r="D10" s="80">
        <v>89</v>
      </c>
      <c r="E10" s="81">
        <f>D10*12*335.1</f>
        <v>357886.80000000005</v>
      </c>
      <c r="F10" s="80">
        <v>95</v>
      </c>
      <c r="G10" s="81">
        <f>E10/D10*F10</f>
        <v>382014.00000000006</v>
      </c>
      <c r="H10" s="80">
        <f t="shared" si="1"/>
        <v>6</v>
      </c>
      <c r="I10" s="81">
        <f t="shared" si="1"/>
        <v>24127.20000000001</v>
      </c>
      <c r="J10" s="80">
        <v>95</v>
      </c>
      <c r="K10" s="81">
        <v>382014</v>
      </c>
      <c r="L10" s="80">
        <f t="shared" si="2"/>
        <v>0</v>
      </c>
      <c r="M10" s="81">
        <f t="shared" si="2"/>
        <v>0</v>
      </c>
      <c r="N10" s="80">
        <v>95</v>
      </c>
      <c r="O10" s="81">
        <v>382014</v>
      </c>
      <c r="P10" s="101">
        <f t="shared" si="3"/>
        <v>0</v>
      </c>
      <c r="Q10" s="102">
        <f t="shared" si="4"/>
        <v>0</v>
      </c>
    </row>
    <row r="11" spans="1:17" ht="17.25" customHeight="1">
      <c r="A11" s="8"/>
      <c r="B11" s="111" t="s">
        <v>16</v>
      </c>
      <c r="C11" s="134"/>
      <c r="D11" s="82">
        <v>20</v>
      </c>
      <c r="E11" s="103">
        <f>D11*12*323.923</f>
        <v>77741.52</v>
      </c>
      <c r="F11" s="82">
        <v>20</v>
      </c>
      <c r="G11" s="103">
        <f>E11/D11*F11</f>
        <v>77741.52</v>
      </c>
      <c r="H11" s="82">
        <f t="shared" si="1"/>
        <v>0</v>
      </c>
      <c r="I11" s="103">
        <f t="shared" si="1"/>
        <v>0</v>
      </c>
      <c r="J11" s="82">
        <v>20</v>
      </c>
      <c r="K11" s="103">
        <f>E11/D11*J11</f>
        <v>77741.52</v>
      </c>
      <c r="L11" s="82">
        <f t="shared" si="2"/>
        <v>0</v>
      </c>
      <c r="M11" s="103">
        <f t="shared" si="2"/>
        <v>0</v>
      </c>
      <c r="N11" s="82">
        <v>20</v>
      </c>
      <c r="O11" s="103">
        <f>E11/D11*N11</f>
        <v>77741.52</v>
      </c>
      <c r="P11" s="104">
        <f t="shared" si="3"/>
        <v>0</v>
      </c>
      <c r="Q11" s="105">
        <f t="shared" si="4"/>
        <v>0</v>
      </c>
    </row>
    <row r="12" spans="1:17" s="136" customFormat="1" ht="18" customHeight="1">
      <c r="A12" s="6"/>
      <c r="B12" s="135" t="s">
        <v>17</v>
      </c>
      <c r="C12" s="135"/>
      <c r="D12" s="101">
        <v>2</v>
      </c>
      <c r="E12" s="102">
        <f>D12*12*361.65</f>
        <v>8679.599999999999</v>
      </c>
      <c r="F12" s="101">
        <v>2</v>
      </c>
      <c r="G12" s="102">
        <v>8679.6</v>
      </c>
      <c r="H12" s="101">
        <f t="shared" si="1"/>
        <v>0</v>
      </c>
      <c r="I12" s="102">
        <f t="shared" si="1"/>
        <v>0</v>
      </c>
      <c r="J12" s="101">
        <v>2</v>
      </c>
      <c r="K12" s="102">
        <v>8679.6</v>
      </c>
      <c r="L12" s="101">
        <f t="shared" si="2"/>
        <v>0</v>
      </c>
      <c r="M12" s="102">
        <f t="shared" si="2"/>
        <v>0</v>
      </c>
      <c r="N12" s="101">
        <v>2</v>
      </c>
      <c r="O12" s="102">
        <v>8679.6</v>
      </c>
      <c r="P12" s="101">
        <f t="shared" si="3"/>
        <v>0</v>
      </c>
      <c r="Q12" s="102">
        <f t="shared" si="4"/>
        <v>0</v>
      </c>
    </row>
    <row r="13" spans="1:17" s="140" customFormat="1" ht="18" customHeight="1" thickBot="1">
      <c r="A13" s="58"/>
      <c r="B13" s="139" t="s">
        <v>75</v>
      </c>
      <c r="C13" s="139"/>
      <c r="D13" s="104"/>
      <c r="E13" s="105">
        <v>62834.35</v>
      </c>
      <c r="F13" s="104"/>
      <c r="G13" s="105"/>
      <c r="H13" s="104"/>
      <c r="I13" s="105"/>
      <c r="J13" s="104"/>
      <c r="K13" s="105"/>
      <c r="L13" s="104"/>
      <c r="M13" s="105"/>
      <c r="N13" s="104"/>
      <c r="O13" s="105"/>
      <c r="P13" s="104"/>
      <c r="Q13" s="105"/>
    </row>
    <row r="14" spans="1:17" s="51" customFormat="1" ht="21.75" customHeight="1" thickBot="1">
      <c r="A14" s="46" t="s">
        <v>20</v>
      </c>
      <c r="B14" s="47" t="s">
        <v>21</v>
      </c>
      <c r="C14" s="78" t="s">
        <v>52</v>
      </c>
      <c r="D14" s="72">
        <f>+D15+D16+D17+D18+D19+D20+D21</f>
        <v>177</v>
      </c>
      <c r="E14" s="71">
        <f>+E15+E16+E17+E18+E19+E20+E21</f>
        <v>246506.81399999998</v>
      </c>
      <c r="F14" s="72">
        <f>+F15+F16+F17+F18+F19+F20</f>
        <v>171</v>
      </c>
      <c r="G14" s="71">
        <f>+G15+G16+G17+G18+G19+G20</f>
        <v>237944.652</v>
      </c>
      <c r="H14" s="72">
        <f t="shared" si="1"/>
        <v>-6</v>
      </c>
      <c r="I14" s="71">
        <f t="shared" si="1"/>
        <v>-8562.161999999982</v>
      </c>
      <c r="J14" s="72">
        <f>+J15+J16+J17+J18+J19+J20</f>
        <v>171</v>
      </c>
      <c r="K14" s="71">
        <f>+K15+K16+K17+K18+K19+K20</f>
        <v>237944.652</v>
      </c>
      <c r="L14" s="72">
        <f t="shared" si="2"/>
        <v>0</v>
      </c>
      <c r="M14" s="71">
        <f t="shared" si="2"/>
        <v>0</v>
      </c>
      <c r="N14" s="72">
        <f>+N15+N16+N17+N18+N19+N20</f>
        <v>171</v>
      </c>
      <c r="O14" s="171">
        <f>+O15+O16+O17+O18+O19+O20</f>
        <v>237944.652</v>
      </c>
      <c r="P14" s="53">
        <f>+N14-J14</f>
        <v>0</v>
      </c>
      <c r="Q14" s="52">
        <f>+O14-K14</f>
        <v>0</v>
      </c>
    </row>
    <row r="15" spans="1:17" ht="17.25" customHeight="1">
      <c r="A15" s="8"/>
      <c r="B15" s="40" t="s">
        <v>14</v>
      </c>
      <c r="C15" s="40"/>
      <c r="D15" s="80">
        <v>19</v>
      </c>
      <c r="E15" s="81">
        <f>D15*12*100</f>
        <v>22800</v>
      </c>
      <c r="F15" s="80">
        <v>20</v>
      </c>
      <c r="G15" s="81">
        <f>F15*12*100</f>
        <v>24000</v>
      </c>
      <c r="H15" s="80">
        <f aca="true" t="shared" si="5" ref="H15:H20">+F15-D15</f>
        <v>1</v>
      </c>
      <c r="I15" s="81">
        <f aca="true" t="shared" si="6" ref="I15:I20">+G15-E15</f>
        <v>1200</v>
      </c>
      <c r="J15" s="80">
        <v>20</v>
      </c>
      <c r="K15" s="81">
        <f>J15*12*100</f>
        <v>24000</v>
      </c>
      <c r="L15" s="80">
        <f aca="true" t="shared" si="7" ref="L15:L22">+J15-F15</f>
        <v>0</v>
      </c>
      <c r="M15" s="81">
        <f aca="true" t="shared" si="8" ref="M15:M20">+K15-G15</f>
        <v>0</v>
      </c>
      <c r="N15" s="80">
        <v>20</v>
      </c>
      <c r="O15" s="81">
        <f>N15*12*100</f>
        <v>24000</v>
      </c>
      <c r="P15" s="80">
        <f aca="true" t="shared" si="9" ref="P15:P20">+N15-J15</f>
        <v>0</v>
      </c>
      <c r="Q15" s="106">
        <f aca="true" t="shared" si="10" ref="Q15:Q20">+O15-K15</f>
        <v>0</v>
      </c>
    </row>
    <row r="16" spans="1:17" ht="17.25" customHeight="1">
      <c r="A16" s="107"/>
      <c r="B16" s="100" t="s">
        <v>15</v>
      </c>
      <c r="C16" s="40"/>
      <c r="D16" s="80">
        <v>89</v>
      </c>
      <c r="E16" s="102">
        <f>D16*12*124.459</f>
        <v>132922.212</v>
      </c>
      <c r="F16" s="80">
        <v>95</v>
      </c>
      <c r="G16" s="102">
        <f>F16*12*124.459</f>
        <v>141883.26</v>
      </c>
      <c r="H16" s="80">
        <f t="shared" si="5"/>
        <v>6</v>
      </c>
      <c r="I16" s="81">
        <f t="shared" si="6"/>
        <v>8961.04800000001</v>
      </c>
      <c r="J16" s="80">
        <v>95</v>
      </c>
      <c r="K16" s="102">
        <f>J16*12*124.459</f>
        <v>141883.26</v>
      </c>
      <c r="L16" s="80">
        <f t="shared" si="7"/>
        <v>0</v>
      </c>
      <c r="M16" s="81">
        <f t="shared" si="8"/>
        <v>0</v>
      </c>
      <c r="N16" s="80">
        <v>95</v>
      </c>
      <c r="O16" s="102">
        <f>N16*12*124.459</f>
        <v>141883.26</v>
      </c>
      <c r="P16" s="101">
        <f t="shared" si="9"/>
        <v>0</v>
      </c>
      <c r="Q16" s="106">
        <f t="shared" si="10"/>
        <v>0</v>
      </c>
    </row>
    <row r="17" spans="1:17" ht="17.25" customHeight="1">
      <c r="A17" s="107"/>
      <c r="B17" s="100" t="s">
        <v>37</v>
      </c>
      <c r="C17" s="40"/>
      <c r="D17" s="80">
        <v>32</v>
      </c>
      <c r="E17" s="102">
        <f>D17*12*91.216</f>
        <v>35026.943999999996</v>
      </c>
      <c r="F17" s="80">
        <v>22</v>
      </c>
      <c r="G17" s="102">
        <f>F17*12*91.216</f>
        <v>24081.023999999998</v>
      </c>
      <c r="H17" s="80">
        <f t="shared" si="5"/>
        <v>-10</v>
      </c>
      <c r="I17" s="81">
        <f t="shared" si="6"/>
        <v>-10945.919999999998</v>
      </c>
      <c r="J17" s="80">
        <v>22</v>
      </c>
      <c r="K17" s="102">
        <f>J17*12*91.216</f>
        <v>24081.023999999998</v>
      </c>
      <c r="L17" s="80">
        <f t="shared" si="7"/>
        <v>0</v>
      </c>
      <c r="M17" s="81">
        <f t="shared" si="8"/>
        <v>0</v>
      </c>
      <c r="N17" s="80">
        <v>22</v>
      </c>
      <c r="O17" s="102">
        <f>N17*12*91.216</f>
        <v>24081.023999999998</v>
      </c>
      <c r="P17" s="101">
        <f t="shared" si="9"/>
        <v>0</v>
      </c>
      <c r="Q17" s="106">
        <f t="shared" si="10"/>
        <v>0</v>
      </c>
    </row>
    <row r="18" spans="1:17" ht="17.25" customHeight="1">
      <c r="A18" s="107"/>
      <c r="B18" s="108" t="s">
        <v>16</v>
      </c>
      <c r="C18" s="109"/>
      <c r="D18" s="80">
        <v>20</v>
      </c>
      <c r="E18" s="102">
        <f>D18*12*124.459</f>
        <v>29870.16</v>
      </c>
      <c r="F18" s="80">
        <v>20</v>
      </c>
      <c r="G18" s="102">
        <f>F18*12*124.459</f>
        <v>29870.16</v>
      </c>
      <c r="H18" s="80">
        <f t="shared" si="5"/>
        <v>0</v>
      </c>
      <c r="I18" s="81">
        <f t="shared" si="6"/>
        <v>0</v>
      </c>
      <c r="J18" s="80">
        <v>20</v>
      </c>
      <c r="K18" s="102">
        <f>J18*12*124.459</f>
        <v>29870.16</v>
      </c>
      <c r="L18" s="80">
        <f t="shared" si="7"/>
        <v>0</v>
      </c>
      <c r="M18" s="81">
        <f t="shared" si="8"/>
        <v>0</v>
      </c>
      <c r="N18" s="80">
        <v>20</v>
      </c>
      <c r="O18" s="102">
        <f>N18*12*124.459</f>
        <v>29870.16</v>
      </c>
      <c r="P18" s="101">
        <f t="shared" si="9"/>
        <v>0</v>
      </c>
      <c r="Q18" s="106">
        <f t="shared" si="10"/>
        <v>0</v>
      </c>
    </row>
    <row r="19" spans="1:17" ht="17.25" customHeight="1">
      <c r="A19" s="107"/>
      <c r="B19" s="137" t="s">
        <v>38</v>
      </c>
      <c r="C19" s="138"/>
      <c r="D19" s="82">
        <v>15</v>
      </c>
      <c r="E19" s="102">
        <f>D19*12*91.216</f>
        <v>16418.879999999997</v>
      </c>
      <c r="F19" s="82">
        <v>12</v>
      </c>
      <c r="G19" s="105">
        <f>F19*12*91.216</f>
        <v>13135.104</v>
      </c>
      <c r="H19" s="82">
        <f t="shared" si="5"/>
        <v>-3</v>
      </c>
      <c r="I19" s="103">
        <f t="shared" si="6"/>
        <v>-3283.775999999998</v>
      </c>
      <c r="J19" s="82">
        <v>12</v>
      </c>
      <c r="K19" s="105">
        <f>J19*12*91.216</f>
        <v>13135.104</v>
      </c>
      <c r="L19" s="82">
        <f t="shared" si="7"/>
        <v>0</v>
      </c>
      <c r="M19" s="103">
        <f t="shared" si="8"/>
        <v>0</v>
      </c>
      <c r="N19" s="82">
        <v>12</v>
      </c>
      <c r="O19" s="105">
        <f>N19*12*91.216</f>
        <v>13135.104</v>
      </c>
      <c r="P19" s="104">
        <f t="shared" si="9"/>
        <v>0</v>
      </c>
      <c r="Q19" s="110">
        <f t="shared" si="10"/>
        <v>0</v>
      </c>
    </row>
    <row r="20" spans="1:17" s="136" customFormat="1" ht="17.25" customHeight="1">
      <c r="A20" s="6"/>
      <c r="B20" s="135" t="s">
        <v>22</v>
      </c>
      <c r="C20" s="135"/>
      <c r="D20" s="101">
        <v>2</v>
      </c>
      <c r="E20" s="102">
        <f>D20*12*207.297</f>
        <v>4975.128</v>
      </c>
      <c r="F20" s="101">
        <v>2</v>
      </c>
      <c r="G20" s="102">
        <f>F20*12*207.296</f>
        <v>4975.103999999999</v>
      </c>
      <c r="H20" s="101">
        <f t="shared" si="5"/>
        <v>0</v>
      </c>
      <c r="I20" s="102">
        <f t="shared" si="6"/>
        <v>-0.02400000000034197</v>
      </c>
      <c r="J20" s="101">
        <v>2</v>
      </c>
      <c r="K20" s="102">
        <f>J20*12*207.296</f>
        <v>4975.103999999999</v>
      </c>
      <c r="L20" s="101">
        <f t="shared" si="7"/>
        <v>0</v>
      </c>
      <c r="M20" s="102">
        <f t="shared" si="8"/>
        <v>0</v>
      </c>
      <c r="N20" s="101">
        <v>2</v>
      </c>
      <c r="O20" s="102">
        <f>N20*12*207.296</f>
        <v>4975.103999999999</v>
      </c>
      <c r="P20" s="101">
        <f t="shared" si="9"/>
        <v>0</v>
      </c>
      <c r="Q20" s="102">
        <f t="shared" si="10"/>
        <v>0</v>
      </c>
    </row>
    <row r="21" spans="1:17" s="140" customFormat="1" ht="17.25" customHeight="1" thickBot="1">
      <c r="A21" s="58"/>
      <c r="B21" s="139" t="s">
        <v>75</v>
      </c>
      <c r="C21" s="139"/>
      <c r="D21" s="104"/>
      <c r="E21" s="105">
        <v>4493.49</v>
      </c>
      <c r="F21" s="104"/>
      <c r="G21" s="105"/>
      <c r="H21" s="104"/>
      <c r="I21" s="105"/>
      <c r="J21" s="104"/>
      <c r="K21" s="105"/>
      <c r="L21" s="104"/>
      <c r="M21" s="105"/>
      <c r="N21" s="104"/>
      <c r="O21" s="105"/>
      <c r="P21" s="104"/>
      <c r="Q21" s="105"/>
    </row>
    <row r="22" spans="1:17" s="51" customFormat="1" ht="28.5" customHeight="1" thickBot="1">
      <c r="A22" s="46" t="s">
        <v>29</v>
      </c>
      <c r="B22" s="47" t="s">
        <v>35</v>
      </c>
      <c r="C22" s="78" t="s">
        <v>52</v>
      </c>
      <c r="D22" s="72">
        <f>+D23+D24+D25+D26+D27</f>
        <v>121</v>
      </c>
      <c r="E22" s="71">
        <f>+E23+E24+E25+E26+E27</f>
        <v>34115.113000000005</v>
      </c>
      <c r="F22" s="72">
        <f>+F23+F24+F25+F26+F27</f>
        <v>136</v>
      </c>
      <c r="G22" s="71">
        <f>+G23+G24+G25+G26+G27</f>
        <v>36591.005</v>
      </c>
      <c r="H22" s="72">
        <f aca="true" t="shared" si="11" ref="H22:I29">+F22-D22</f>
        <v>15</v>
      </c>
      <c r="I22" s="71">
        <f t="shared" si="11"/>
        <v>2475.8919999999925</v>
      </c>
      <c r="J22" s="72">
        <f>+J23+J24+J25+J26+J27</f>
        <v>129</v>
      </c>
      <c r="K22" s="71">
        <f>+K23+K24+K25+K26+K27</f>
        <v>36010.695</v>
      </c>
      <c r="L22" s="72">
        <f t="shared" si="7"/>
        <v>-7</v>
      </c>
      <c r="M22" s="71">
        <f aca="true" t="shared" si="12" ref="M22:M29">+K22-G22</f>
        <v>-580.3099999999977</v>
      </c>
      <c r="N22" s="72">
        <f>+N23+N24+N25+N26+N27</f>
        <v>119</v>
      </c>
      <c r="O22" s="71">
        <f>+O23+O24+O25+O26+O27</f>
        <v>34425.085</v>
      </c>
      <c r="P22" s="53">
        <f aca="true" t="shared" si="13" ref="P22:Q29">+N22-J22</f>
        <v>-10</v>
      </c>
      <c r="Q22" s="52">
        <f t="shared" si="13"/>
        <v>-1585.6100000000006</v>
      </c>
    </row>
    <row r="23" spans="1:17" ht="16.5" customHeight="1">
      <c r="A23" s="8"/>
      <c r="B23" s="40" t="s">
        <v>13</v>
      </c>
      <c r="C23" s="40"/>
      <c r="D23" s="80">
        <v>34</v>
      </c>
      <c r="E23" s="81">
        <f>D23*174.61</f>
        <v>5936.740000000001</v>
      </c>
      <c r="F23" s="80">
        <v>53</v>
      </c>
      <c r="G23" s="81">
        <f>F23*174.61</f>
        <v>9254.33</v>
      </c>
      <c r="H23" s="80">
        <f t="shared" si="11"/>
        <v>19</v>
      </c>
      <c r="I23" s="81">
        <f t="shared" si="11"/>
        <v>3317.5899999999992</v>
      </c>
      <c r="J23" s="82">
        <v>39</v>
      </c>
      <c r="K23" s="81">
        <f>J23*174.61</f>
        <v>6809.790000000001</v>
      </c>
      <c r="L23" s="80">
        <f aca="true" t="shared" si="14" ref="L23:L29">+J23-F23</f>
        <v>-14</v>
      </c>
      <c r="M23" s="81">
        <f t="shared" si="12"/>
        <v>-2444.539999999999</v>
      </c>
      <c r="N23" s="82">
        <v>28</v>
      </c>
      <c r="O23" s="81">
        <f>N23*174.61</f>
        <v>4889.08</v>
      </c>
      <c r="P23" s="80">
        <f t="shared" si="13"/>
        <v>-11</v>
      </c>
      <c r="Q23" s="81">
        <f t="shared" si="13"/>
        <v>-1920.710000000001</v>
      </c>
    </row>
    <row r="24" spans="1:17" ht="17.25" customHeight="1">
      <c r="A24" s="107"/>
      <c r="B24" s="100" t="s">
        <v>46</v>
      </c>
      <c r="C24" s="40"/>
      <c r="D24" s="80">
        <v>6</v>
      </c>
      <c r="E24" s="102">
        <f>D24*174.61</f>
        <v>1047.66</v>
      </c>
      <c r="F24" s="80">
        <v>3</v>
      </c>
      <c r="G24" s="102">
        <f>F24*174.61</f>
        <v>523.83</v>
      </c>
      <c r="H24" s="80">
        <f t="shared" si="11"/>
        <v>-3</v>
      </c>
      <c r="I24" s="81">
        <f t="shared" si="11"/>
        <v>-523.83</v>
      </c>
      <c r="J24" s="104">
        <v>6</v>
      </c>
      <c r="K24" s="102">
        <f>J24*174.61</f>
        <v>1047.66</v>
      </c>
      <c r="L24" s="80">
        <f t="shared" si="14"/>
        <v>3</v>
      </c>
      <c r="M24" s="81">
        <f t="shared" si="12"/>
        <v>523.83</v>
      </c>
      <c r="N24" s="104">
        <v>6</v>
      </c>
      <c r="O24" s="102">
        <f>N24*174.61</f>
        <v>1047.66</v>
      </c>
      <c r="P24" s="101">
        <f t="shared" si="13"/>
        <v>0</v>
      </c>
      <c r="Q24" s="102">
        <f t="shared" si="13"/>
        <v>0</v>
      </c>
    </row>
    <row r="25" spans="1:17" ht="18.75" customHeight="1">
      <c r="A25" s="107"/>
      <c r="B25" s="100" t="s">
        <v>14</v>
      </c>
      <c r="C25" s="40"/>
      <c r="D25" s="80">
        <v>18</v>
      </c>
      <c r="E25" s="105">
        <f>D25*343.726</f>
        <v>6187.068</v>
      </c>
      <c r="F25" s="80">
        <v>20</v>
      </c>
      <c r="G25" s="105">
        <v>6874.5</v>
      </c>
      <c r="H25" s="80">
        <f t="shared" si="11"/>
        <v>2</v>
      </c>
      <c r="I25" s="81">
        <f t="shared" si="11"/>
        <v>687.4319999999998</v>
      </c>
      <c r="J25" s="104">
        <v>20</v>
      </c>
      <c r="K25" s="105">
        <v>6874.5</v>
      </c>
      <c r="L25" s="80">
        <f t="shared" si="14"/>
        <v>0</v>
      </c>
      <c r="M25" s="81">
        <f t="shared" si="12"/>
        <v>0</v>
      </c>
      <c r="N25" s="104">
        <v>20</v>
      </c>
      <c r="O25" s="105">
        <v>6874.5</v>
      </c>
      <c r="P25" s="101">
        <f t="shared" si="13"/>
        <v>0</v>
      </c>
      <c r="Q25" s="102">
        <f t="shared" si="13"/>
        <v>0</v>
      </c>
    </row>
    <row r="26" spans="1:17" ht="18" customHeight="1">
      <c r="A26" s="107"/>
      <c r="B26" s="100" t="s">
        <v>15</v>
      </c>
      <c r="C26" s="100"/>
      <c r="D26" s="101">
        <v>48</v>
      </c>
      <c r="E26" s="105">
        <f>D26*335.1</f>
        <v>16084.800000000001</v>
      </c>
      <c r="F26" s="101">
        <v>45</v>
      </c>
      <c r="G26" s="105">
        <v>15079.5</v>
      </c>
      <c r="H26" s="80">
        <f t="shared" si="11"/>
        <v>-3</v>
      </c>
      <c r="I26" s="81">
        <f t="shared" si="11"/>
        <v>-1005.3000000000011</v>
      </c>
      <c r="J26" s="104">
        <v>49</v>
      </c>
      <c r="K26" s="105">
        <v>16419.9</v>
      </c>
      <c r="L26" s="80">
        <f t="shared" si="14"/>
        <v>4</v>
      </c>
      <c r="M26" s="81">
        <f t="shared" si="12"/>
        <v>1340.4000000000015</v>
      </c>
      <c r="N26" s="104">
        <v>50</v>
      </c>
      <c r="O26" s="105">
        <v>16755</v>
      </c>
      <c r="P26" s="101">
        <f t="shared" si="13"/>
        <v>1</v>
      </c>
      <c r="Q26" s="102">
        <f t="shared" si="13"/>
        <v>335.09999999999854</v>
      </c>
    </row>
    <row r="27" spans="1:17" ht="17.25" customHeight="1" thickBot="1">
      <c r="A27" s="107"/>
      <c r="B27" s="111" t="s">
        <v>16</v>
      </c>
      <c r="C27" s="111"/>
      <c r="D27" s="104">
        <v>15</v>
      </c>
      <c r="E27" s="105">
        <f>D27*323.923</f>
        <v>4858.845</v>
      </c>
      <c r="F27" s="104">
        <v>15</v>
      </c>
      <c r="G27" s="105">
        <f>F27*323.923</f>
        <v>4858.845</v>
      </c>
      <c r="H27" s="82">
        <f t="shared" si="11"/>
        <v>0</v>
      </c>
      <c r="I27" s="103">
        <f t="shared" si="11"/>
        <v>0</v>
      </c>
      <c r="J27" s="104">
        <v>15</v>
      </c>
      <c r="K27" s="105">
        <f>J27*323.923</f>
        <v>4858.845</v>
      </c>
      <c r="L27" s="82">
        <f t="shared" si="14"/>
        <v>0</v>
      </c>
      <c r="M27" s="103">
        <f t="shared" si="12"/>
        <v>0</v>
      </c>
      <c r="N27" s="104">
        <v>15</v>
      </c>
      <c r="O27" s="105">
        <f>N27*323.923</f>
        <v>4858.845</v>
      </c>
      <c r="P27" s="104">
        <f t="shared" si="13"/>
        <v>0</v>
      </c>
      <c r="Q27" s="105">
        <f t="shared" si="13"/>
        <v>0</v>
      </c>
    </row>
    <row r="28" spans="1:17" s="51" customFormat="1" ht="17.25" customHeight="1" thickBot="1">
      <c r="A28" s="46" t="s">
        <v>30</v>
      </c>
      <c r="B28" s="47" t="s">
        <v>53</v>
      </c>
      <c r="C28" s="48" t="s">
        <v>54</v>
      </c>
      <c r="D28" s="72">
        <v>180</v>
      </c>
      <c r="E28" s="71">
        <v>900</v>
      </c>
      <c r="F28" s="72">
        <v>180</v>
      </c>
      <c r="G28" s="71">
        <v>900</v>
      </c>
      <c r="H28" s="72">
        <f t="shared" si="11"/>
        <v>0</v>
      </c>
      <c r="I28" s="71">
        <f t="shared" si="11"/>
        <v>0</v>
      </c>
      <c r="J28" s="72">
        <v>180</v>
      </c>
      <c r="K28" s="71">
        <v>900</v>
      </c>
      <c r="L28" s="72">
        <f t="shared" si="14"/>
        <v>0</v>
      </c>
      <c r="M28" s="71">
        <f t="shared" si="12"/>
        <v>0</v>
      </c>
      <c r="N28" s="72">
        <v>180</v>
      </c>
      <c r="O28" s="71">
        <v>900</v>
      </c>
      <c r="P28" s="53">
        <f t="shared" si="13"/>
        <v>0</v>
      </c>
      <c r="Q28" s="52">
        <f t="shared" si="13"/>
        <v>0</v>
      </c>
    </row>
    <row r="29" spans="1:17" s="116" customFormat="1" ht="21.75" customHeight="1" thickBot="1">
      <c r="A29" s="112" t="s">
        <v>23</v>
      </c>
      <c r="B29" s="75" t="s">
        <v>60</v>
      </c>
      <c r="C29" s="113" t="s">
        <v>52</v>
      </c>
      <c r="D29" s="114">
        <v>58</v>
      </c>
      <c r="E29" s="68">
        <v>47290.7</v>
      </c>
      <c r="F29" s="114">
        <v>58</v>
      </c>
      <c r="G29" s="68">
        <v>43830.1</v>
      </c>
      <c r="H29" s="114">
        <f t="shared" si="11"/>
        <v>0</v>
      </c>
      <c r="I29" s="4">
        <f t="shared" si="11"/>
        <v>-3460.5999999999985</v>
      </c>
      <c r="J29" s="114">
        <v>41</v>
      </c>
      <c r="K29" s="68">
        <v>37416.6</v>
      </c>
      <c r="L29" s="114">
        <f t="shared" si="14"/>
        <v>-17</v>
      </c>
      <c r="M29" s="4">
        <f t="shared" si="12"/>
        <v>-6413.5</v>
      </c>
      <c r="N29" s="114">
        <v>41</v>
      </c>
      <c r="O29" s="168">
        <v>24534.4</v>
      </c>
      <c r="P29" s="154">
        <f t="shared" si="13"/>
        <v>0</v>
      </c>
      <c r="Q29" s="155">
        <f t="shared" si="13"/>
        <v>-12882.199999999997</v>
      </c>
    </row>
    <row r="30" spans="1:17" s="73" customFormat="1" ht="17.25" customHeight="1" thickBot="1">
      <c r="A30" s="46" t="s">
        <v>59</v>
      </c>
      <c r="B30" s="57" t="s">
        <v>1</v>
      </c>
      <c r="C30" s="57"/>
      <c r="D30" s="71"/>
      <c r="E30" s="71">
        <f>E31+E39+E46+E48+E53+E60</f>
        <v>249062.4</v>
      </c>
      <c r="F30" s="72"/>
      <c r="G30" s="71">
        <f>G31+G39+G46+G48+G53+G60+G66</f>
        <v>258062.8</v>
      </c>
      <c r="H30" s="72"/>
      <c r="I30" s="71">
        <f>I31+I39+I46+I48+I53+I60+I66</f>
        <v>9000.4</v>
      </c>
      <c r="J30" s="72"/>
      <c r="K30" s="71">
        <f>K31+K39+K46+K48+K53+K60+K66</f>
        <v>258596.8</v>
      </c>
      <c r="L30" s="72"/>
      <c r="M30" s="71">
        <f>M31+M39+M46+M48+M53+M60+M66</f>
        <v>534</v>
      </c>
      <c r="N30" s="72"/>
      <c r="O30" s="71">
        <f>O31+O39+O46+O48+O53+O60+O66</f>
        <v>258596.8</v>
      </c>
      <c r="P30" s="79"/>
      <c r="Q30" s="71">
        <f>Q31+Q39+Q46+Q48+Q53+Q60</f>
        <v>0</v>
      </c>
    </row>
    <row r="31" spans="1:17" s="51" customFormat="1" ht="21" customHeight="1" thickBot="1">
      <c r="A31" s="46">
        <v>1</v>
      </c>
      <c r="B31" s="47" t="s">
        <v>32</v>
      </c>
      <c r="C31" s="48" t="s">
        <v>55</v>
      </c>
      <c r="D31" s="72">
        <f>+D32+D33+D34+D35+D36+D37+D38</f>
        <v>859</v>
      </c>
      <c r="E31" s="71">
        <f>+E32+E33+E34+E35+E36+E37+E38</f>
        <v>90195</v>
      </c>
      <c r="F31" s="72">
        <f>+F32+F33+F34+F35+F36+F37+F38</f>
        <v>883</v>
      </c>
      <c r="G31" s="71">
        <f>+G32+G33+G34+G35+G36+G37+G38</f>
        <v>92715</v>
      </c>
      <c r="H31" s="72">
        <f>+F31-D31</f>
        <v>24</v>
      </c>
      <c r="I31" s="71">
        <f>+G31-E31</f>
        <v>2520</v>
      </c>
      <c r="J31" s="72">
        <f>+J32+J33+J34+J35+J36+J37+J38</f>
        <v>885</v>
      </c>
      <c r="K31" s="71">
        <f>+K32+K33+K34+K35+K36+K37+K38</f>
        <v>92925</v>
      </c>
      <c r="L31" s="72">
        <f>+J31-F31</f>
        <v>2</v>
      </c>
      <c r="M31" s="71">
        <f>+K31-G31</f>
        <v>210</v>
      </c>
      <c r="N31" s="72">
        <f>+N32+N33+N34+N35+N36+N37+N38</f>
        <v>885</v>
      </c>
      <c r="O31" s="71">
        <f>+O32+O33+O34+O35+O36+O37+O38</f>
        <v>92925</v>
      </c>
      <c r="P31" s="49">
        <f>+N31-J31</f>
        <v>0</v>
      </c>
      <c r="Q31" s="71">
        <f>+O31-K31</f>
        <v>0</v>
      </c>
    </row>
    <row r="32" spans="1:17" ht="26.25" customHeight="1">
      <c r="A32" s="99"/>
      <c r="B32" s="5" t="s">
        <v>24</v>
      </c>
      <c r="C32" s="5"/>
      <c r="D32" s="80">
        <v>271</v>
      </c>
      <c r="E32" s="81">
        <f>D32*105</f>
        <v>28455</v>
      </c>
      <c r="F32" s="80">
        <v>287</v>
      </c>
      <c r="G32" s="81">
        <f aca="true" t="shared" si="15" ref="G32:G38">F32*105</f>
        <v>30135</v>
      </c>
      <c r="H32" s="80">
        <f aca="true" t="shared" si="16" ref="H32:H38">+F32-D32</f>
        <v>16</v>
      </c>
      <c r="I32" s="81">
        <f aca="true" t="shared" si="17" ref="I32:I38">+G32-E32</f>
        <v>1680</v>
      </c>
      <c r="J32" s="80">
        <v>271</v>
      </c>
      <c r="K32" s="81">
        <f aca="true" t="shared" si="18" ref="K32:K38">J32*105</f>
        <v>28455</v>
      </c>
      <c r="L32" s="80">
        <f aca="true" t="shared" si="19" ref="L32:L38">+J32-F32</f>
        <v>-16</v>
      </c>
      <c r="M32" s="81">
        <f aca="true" t="shared" si="20" ref="M32:M38">+K32-G32</f>
        <v>-1680</v>
      </c>
      <c r="N32" s="80">
        <v>271</v>
      </c>
      <c r="O32" s="81">
        <f aca="true" t="shared" si="21" ref="O32:O38">N32*105</f>
        <v>28455</v>
      </c>
      <c r="P32" s="80">
        <f aca="true" t="shared" si="22" ref="P32:P38">+N32-J32</f>
        <v>0</v>
      </c>
      <c r="Q32" s="81">
        <f aca="true" t="shared" si="23" ref="Q32:Q38">+O32-K32</f>
        <v>0</v>
      </c>
    </row>
    <row r="33" spans="1:17" ht="21.75" customHeight="1">
      <c r="A33" s="99"/>
      <c r="B33" s="5" t="s">
        <v>25</v>
      </c>
      <c r="C33" s="5"/>
      <c r="D33" s="80">
        <v>217</v>
      </c>
      <c r="E33" s="81">
        <f aca="true" t="shared" si="24" ref="E33:E38">D33*105</f>
        <v>22785</v>
      </c>
      <c r="F33" s="80">
        <v>202</v>
      </c>
      <c r="G33" s="81">
        <f t="shared" si="15"/>
        <v>21210</v>
      </c>
      <c r="H33" s="80">
        <f t="shared" si="16"/>
        <v>-15</v>
      </c>
      <c r="I33" s="81">
        <f t="shared" si="17"/>
        <v>-1575</v>
      </c>
      <c r="J33" s="80">
        <v>217</v>
      </c>
      <c r="K33" s="81">
        <f t="shared" si="18"/>
        <v>22785</v>
      </c>
      <c r="L33" s="80">
        <f t="shared" si="19"/>
        <v>15</v>
      </c>
      <c r="M33" s="81">
        <f t="shared" si="20"/>
        <v>1575</v>
      </c>
      <c r="N33" s="80">
        <v>217</v>
      </c>
      <c r="O33" s="81">
        <f t="shared" si="21"/>
        <v>22785</v>
      </c>
      <c r="P33" s="101">
        <f t="shared" si="22"/>
        <v>0</v>
      </c>
      <c r="Q33" s="102">
        <f t="shared" si="23"/>
        <v>0</v>
      </c>
    </row>
    <row r="34" spans="1:17" ht="27.75" customHeight="1">
      <c r="A34" s="99"/>
      <c r="B34" s="5" t="s">
        <v>47</v>
      </c>
      <c r="C34" s="5"/>
      <c r="D34" s="80">
        <v>8</v>
      </c>
      <c r="E34" s="81">
        <f t="shared" si="24"/>
        <v>840</v>
      </c>
      <c r="F34" s="80">
        <v>8</v>
      </c>
      <c r="G34" s="81">
        <f t="shared" si="15"/>
        <v>840</v>
      </c>
      <c r="H34" s="80">
        <f t="shared" si="16"/>
        <v>0</v>
      </c>
      <c r="I34" s="81">
        <f t="shared" si="17"/>
        <v>0</v>
      </c>
      <c r="J34" s="80">
        <v>8</v>
      </c>
      <c r="K34" s="81">
        <f t="shared" si="18"/>
        <v>840</v>
      </c>
      <c r="L34" s="80">
        <f t="shared" si="19"/>
        <v>0</v>
      </c>
      <c r="M34" s="81">
        <f t="shared" si="20"/>
        <v>0</v>
      </c>
      <c r="N34" s="80">
        <v>8</v>
      </c>
      <c r="O34" s="81">
        <f t="shared" si="21"/>
        <v>840</v>
      </c>
      <c r="P34" s="101">
        <f t="shared" si="22"/>
        <v>0</v>
      </c>
      <c r="Q34" s="102">
        <f t="shared" si="23"/>
        <v>0</v>
      </c>
    </row>
    <row r="35" spans="1:17" ht="18.75" customHeight="1">
      <c r="A35" s="99"/>
      <c r="B35" s="5" t="s">
        <v>26</v>
      </c>
      <c r="C35" s="5"/>
      <c r="D35" s="80">
        <v>200</v>
      </c>
      <c r="E35" s="81">
        <f t="shared" si="24"/>
        <v>21000</v>
      </c>
      <c r="F35" s="80">
        <v>210</v>
      </c>
      <c r="G35" s="81">
        <f t="shared" si="15"/>
        <v>22050</v>
      </c>
      <c r="H35" s="80">
        <f t="shared" si="16"/>
        <v>10</v>
      </c>
      <c r="I35" s="81">
        <f t="shared" si="17"/>
        <v>1050</v>
      </c>
      <c r="J35" s="80">
        <v>200</v>
      </c>
      <c r="K35" s="81">
        <f t="shared" si="18"/>
        <v>21000</v>
      </c>
      <c r="L35" s="80">
        <f t="shared" si="19"/>
        <v>-10</v>
      </c>
      <c r="M35" s="81">
        <f t="shared" si="20"/>
        <v>-1050</v>
      </c>
      <c r="N35" s="80">
        <v>200</v>
      </c>
      <c r="O35" s="81">
        <f t="shared" si="21"/>
        <v>21000</v>
      </c>
      <c r="P35" s="101">
        <f t="shared" si="22"/>
        <v>0</v>
      </c>
      <c r="Q35" s="102">
        <f t="shared" si="23"/>
        <v>0</v>
      </c>
    </row>
    <row r="36" spans="1:17" ht="18" customHeight="1">
      <c r="A36" s="99"/>
      <c r="B36" s="5" t="s">
        <v>27</v>
      </c>
      <c r="C36" s="5"/>
      <c r="D36" s="80">
        <v>75</v>
      </c>
      <c r="E36" s="81">
        <f t="shared" si="24"/>
        <v>7875</v>
      </c>
      <c r="F36" s="80">
        <v>62</v>
      </c>
      <c r="G36" s="81">
        <f t="shared" si="15"/>
        <v>6510</v>
      </c>
      <c r="H36" s="80">
        <f t="shared" si="16"/>
        <v>-13</v>
      </c>
      <c r="I36" s="81">
        <f t="shared" si="17"/>
        <v>-1365</v>
      </c>
      <c r="J36" s="80">
        <v>75</v>
      </c>
      <c r="K36" s="81">
        <f t="shared" si="18"/>
        <v>7875</v>
      </c>
      <c r="L36" s="80">
        <f t="shared" si="19"/>
        <v>13</v>
      </c>
      <c r="M36" s="81">
        <f t="shared" si="20"/>
        <v>1365</v>
      </c>
      <c r="N36" s="80">
        <v>75</v>
      </c>
      <c r="O36" s="81">
        <f t="shared" si="21"/>
        <v>7875</v>
      </c>
      <c r="P36" s="101">
        <f t="shared" si="22"/>
        <v>0</v>
      </c>
      <c r="Q36" s="102">
        <f t="shared" si="23"/>
        <v>0</v>
      </c>
    </row>
    <row r="37" spans="1:17" ht="21" customHeight="1">
      <c r="A37" s="99"/>
      <c r="B37" s="5" t="s">
        <v>28</v>
      </c>
      <c r="C37" s="5"/>
      <c r="D37" s="80">
        <v>58</v>
      </c>
      <c r="E37" s="81">
        <f t="shared" si="24"/>
        <v>6090</v>
      </c>
      <c r="F37" s="80">
        <v>74</v>
      </c>
      <c r="G37" s="81">
        <f t="shared" si="15"/>
        <v>7770</v>
      </c>
      <c r="H37" s="80">
        <f t="shared" si="16"/>
        <v>16</v>
      </c>
      <c r="I37" s="81">
        <f t="shared" si="17"/>
        <v>1680</v>
      </c>
      <c r="J37" s="80">
        <v>74</v>
      </c>
      <c r="K37" s="81">
        <f t="shared" si="18"/>
        <v>7770</v>
      </c>
      <c r="L37" s="80">
        <f t="shared" si="19"/>
        <v>0</v>
      </c>
      <c r="M37" s="81">
        <f t="shared" si="20"/>
        <v>0</v>
      </c>
      <c r="N37" s="80">
        <v>74</v>
      </c>
      <c r="O37" s="81">
        <f t="shared" si="21"/>
        <v>7770</v>
      </c>
      <c r="P37" s="101">
        <f t="shared" si="22"/>
        <v>0</v>
      </c>
      <c r="Q37" s="102">
        <f t="shared" si="23"/>
        <v>0</v>
      </c>
    </row>
    <row r="38" spans="1:17" ht="28.5" customHeight="1" thickBot="1">
      <c r="A38" s="8"/>
      <c r="B38" s="45" t="s">
        <v>58</v>
      </c>
      <c r="C38" s="45"/>
      <c r="D38" s="82">
        <v>30</v>
      </c>
      <c r="E38" s="81">
        <f t="shared" si="24"/>
        <v>3150</v>
      </c>
      <c r="F38" s="82">
        <v>40</v>
      </c>
      <c r="G38" s="81">
        <f t="shared" si="15"/>
        <v>4200</v>
      </c>
      <c r="H38" s="82">
        <f t="shared" si="16"/>
        <v>10</v>
      </c>
      <c r="I38" s="103">
        <f t="shared" si="17"/>
        <v>1050</v>
      </c>
      <c r="J38" s="82">
        <v>40</v>
      </c>
      <c r="K38" s="81">
        <f t="shared" si="18"/>
        <v>4200</v>
      </c>
      <c r="L38" s="82">
        <f t="shared" si="19"/>
        <v>0</v>
      </c>
      <c r="M38" s="103">
        <f t="shared" si="20"/>
        <v>0</v>
      </c>
      <c r="N38" s="82">
        <v>40</v>
      </c>
      <c r="O38" s="81">
        <f t="shared" si="21"/>
        <v>4200</v>
      </c>
      <c r="P38" s="104">
        <f t="shared" si="22"/>
        <v>0</v>
      </c>
      <c r="Q38" s="105">
        <f t="shared" si="23"/>
        <v>0</v>
      </c>
    </row>
    <row r="39" spans="1:17" s="51" customFormat="1" ht="20.25" customHeight="1" thickBot="1">
      <c r="A39" s="46">
        <v>2</v>
      </c>
      <c r="B39" s="47" t="s">
        <v>34</v>
      </c>
      <c r="C39" s="48" t="s">
        <v>55</v>
      </c>
      <c r="D39" s="72">
        <f aca="true" t="shared" si="25" ref="D39:Q39">+D40+D41+D42+D43+D44+D45</f>
        <v>177</v>
      </c>
      <c r="E39" s="71">
        <f t="shared" si="25"/>
        <v>3186</v>
      </c>
      <c r="F39" s="72">
        <f t="shared" si="25"/>
        <v>159</v>
      </c>
      <c r="G39" s="71">
        <f t="shared" si="25"/>
        <v>2862</v>
      </c>
      <c r="H39" s="72">
        <f t="shared" si="25"/>
        <v>-18</v>
      </c>
      <c r="I39" s="71">
        <f t="shared" si="25"/>
        <v>-324</v>
      </c>
      <c r="J39" s="72">
        <f t="shared" si="25"/>
        <v>177</v>
      </c>
      <c r="K39" s="71">
        <f t="shared" si="25"/>
        <v>3186</v>
      </c>
      <c r="L39" s="72">
        <f t="shared" si="25"/>
        <v>18</v>
      </c>
      <c r="M39" s="71">
        <f t="shared" si="25"/>
        <v>324</v>
      </c>
      <c r="N39" s="172">
        <f t="shared" si="25"/>
        <v>177</v>
      </c>
      <c r="O39" s="173">
        <f t="shared" si="25"/>
        <v>3186</v>
      </c>
      <c r="P39" s="49">
        <f t="shared" si="25"/>
        <v>0</v>
      </c>
      <c r="Q39" s="52">
        <f t="shared" si="25"/>
        <v>0</v>
      </c>
    </row>
    <row r="40" spans="1:17" ht="24" customHeight="1">
      <c r="A40" s="99"/>
      <c r="B40" s="5" t="s">
        <v>33</v>
      </c>
      <c r="C40" s="5"/>
      <c r="D40" s="80">
        <v>28</v>
      </c>
      <c r="E40" s="81">
        <f aca="true" t="shared" si="26" ref="E40:E45">D40*18</f>
        <v>504</v>
      </c>
      <c r="F40" s="80">
        <v>27</v>
      </c>
      <c r="G40" s="81">
        <f aca="true" t="shared" si="27" ref="G40:G45">F40*18</f>
        <v>486</v>
      </c>
      <c r="H40" s="80">
        <f aca="true" t="shared" si="28" ref="H40:H48">+F40-D40</f>
        <v>-1</v>
      </c>
      <c r="I40" s="81">
        <f aca="true" t="shared" si="29" ref="I40:I48">+G40-E40</f>
        <v>-18</v>
      </c>
      <c r="J40" s="80">
        <v>28</v>
      </c>
      <c r="K40" s="81">
        <f aca="true" t="shared" si="30" ref="K40:K45">J40*18</f>
        <v>504</v>
      </c>
      <c r="L40" s="80">
        <f aca="true" t="shared" si="31" ref="L40:L48">+J40-F40</f>
        <v>1</v>
      </c>
      <c r="M40" s="81">
        <f aca="true" t="shared" si="32" ref="M40:M48">+K40-G40</f>
        <v>18</v>
      </c>
      <c r="N40" s="80">
        <v>28</v>
      </c>
      <c r="O40" s="81">
        <f aca="true" t="shared" si="33" ref="O40:O45">N40*18</f>
        <v>504</v>
      </c>
      <c r="P40" s="80">
        <f aca="true" t="shared" si="34" ref="P40:P48">+N40-J40</f>
        <v>0</v>
      </c>
      <c r="Q40" s="81">
        <f aca="true" t="shared" si="35" ref="Q40:Q48">+O40-K40</f>
        <v>0</v>
      </c>
    </row>
    <row r="41" spans="1:17" ht="20.25" customHeight="1">
      <c r="A41" s="117"/>
      <c r="B41" s="5" t="s">
        <v>25</v>
      </c>
      <c r="C41" s="5"/>
      <c r="D41" s="101">
        <v>32</v>
      </c>
      <c r="E41" s="81">
        <f t="shared" si="26"/>
        <v>576</v>
      </c>
      <c r="F41" s="101">
        <v>25</v>
      </c>
      <c r="G41" s="81">
        <f t="shared" si="27"/>
        <v>450</v>
      </c>
      <c r="H41" s="80">
        <f t="shared" si="28"/>
        <v>-7</v>
      </c>
      <c r="I41" s="81">
        <f t="shared" si="29"/>
        <v>-126</v>
      </c>
      <c r="J41" s="101">
        <v>32</v>
      </c>
      <c r="K41" s="81">
        <f t="shared" si="30"/>
        <v>576</v>
      </c>
      <c r="L41" s="80">
        <f t="shared" si="31"/>
        <v>7</v>
      </c>
      <c r="M41" s="81">
        <f t="shared" si="32"/>
        <v>126</v>
      </c>
      <c r="N41" s="101">
        <v>32</v>
      </c>
      <c r="O41" s="81">
        <f t="shared" si="33"/>
        <v>576</v>
      </c>
      <c r="P41" s="101">
        <f t="shared" si="34"/>
        <v>0</v>
      </c>
      <c r="Q41" s="102">
        <f t="shared" si="35"/>
        <v>0</v>
      </c>
    </row>
    <row r="42" spans="1:17" ht="28.5" customHeight="1">
      <c r="A42" s="117"/>
      <c r="B42" s="5" t="s">
        <v>31</v>
      </c>
      <c r="C42" s="5"/>
      <c r="D42" s="101">
        <v>40</v>
      </c>
      <c r="E42" s="81">
        <f t="shared" si="26"/>
        <v>720</v>
      </c>
      <c r="F42" s="101">
        <v>40</v>
      </c>
      <c r="G42" s="81">
        <f t="shared" si="27"/>
        <v>720</v>
      </c>
      <c r="H42" s="80">
        <f t="shared" si="28"/>
        <v>0</v>
      </c>
      <c r="I42" s="81">
        <f t="shared" si="29"/>
        <v>0</v>
      </c>
      <c r="J42" s="101">
        <v>40</v>
      </c>
      <c r="K42" s="81">
        <f t="shared" si="30"/>
        <v>720</v>
      </c>
      <c r="L42" s="80">
        <f t="shared" si="31"/>
        <v>0</v>
      </c>
      <c r="M42" s="81">
        <f t="shared" si="32"/>
        <v>0</v>
      </c>
      <c r="N42" s="101">
        <v>40</v>
      </c>
      <c r="O42" s="81">
        <f t="shared" si="33"/>
        <v>720</v>
      </c>
      <c r="P42" s="101">
        <f t="shared" si="34"/>
        <v>0</v>
      </c>
      <c r="Q42" s="102">
        <f t="shared" si="35"/>
        <v>0</v>
      </c>
    </row>
    <row r="43" spans="1:17" ht="18" customHeight="1">
      <c r="A43" s="117"/>
      <c r="B43" s="5" t="s">
        <v>26</v>
      </c>
      <c r="C43" s="5"/>
      <c r="D43" s="101">
        <v>50</v>
      </c>
      <c r="E43" s="81">
        <f t="shared" si="26"/>
        <v>900</v>
      </c>
      <c r="F43" s="101">
        <v>40</v>
      </c>
      <c r="G43" s="81">
        <f t="shared" si="27"/>
        <v>720</v>
      </c>
      <c r="H43" s="80">
        <f t="shared" si="28"/>
        <v>-10</v>
      </c>
      <c r="I43" s="81">
        <f t="shared" si="29"/>
        <v>-180</v>
      </c>
      <c r="J43" s="101">
        <v>50</v>
      </c>
      <c r="K43" s="81">
        <f t="shared" si="30"/>
        <v>900</v>
      </c>
      <c r="L43" s="80">
        <f t="shared" si="31"/>
        <v>10</v>
      </c>
      <c r="M43" s="81">
        <f t="shared" si="32"/>
        <v>180</v>
      </c>
      <c r="N43" s="101">
        <v>50</v>
      </c>
      <c r="O43" s="81">
        <f t="shared" si="33"/>
        <v>900</v>
      </c>
      <c r="P43" s="101">
        <f t="shared" si="34"/>
        <v>0</v>
      </c>
      <c r="Q43" s="102">
        <f t="shared" si="35"/>
        <v>0</v>
      </c>
    </row>
    <row r="44" spans="1:17" ht="18" customHeight="1">
      <c r="A44" s="117"/>
      <c r="B44" s="5" t="s">
        <v>28</v>
      </c>
      <c r="C44" s="5"/>
      <c r="D44" s="101">
        <v>12</v>
      </c>
      <c r="E44" s="81">
        <f t="shared" si="26"/>
        <v>216</v>
      </c>
      <c r="F44" s="101">
        <v>12</v>
      </c>
      <c r="G44" s="81">
        <f t="shared" si="27"/>
        <v>216</v>
      </c>
      <c r="H44" s="80">
        <f t="shared" si="28"/>
        <v>0</v>
      </c>
      <c r="I44" s="81">
        <f t="shared" si="29"/>
        <v>0</v>
      </c>
      <c r="J44" s="101">
        <v>12</v>
      </c>
      <c r="K44" s="81">
        <f t="shared" si="30"/>
        <v>216</v>
      </c>
      <c r="L44" s="80">
        <f t="shared" si="31"/>
        <v>0</v>
      </c>
      <c r="M44" s="81">
        <f t="shared" si="32"/>
        <v>0</v>
      </c>
      <c r="N44" s="101">
        <v>12</v>
      </c>
      <c r="O44" s="81">
        <f t="shared" si="33"/>
        <v>216</v>
      </c>
      <c r="P44" s="101">
        <f t="shared" si="34"/>
        <v>0</v>
      </c>
      <c r="Q44" s="102">
        <f t="shared" si="35"/>
        <v>0</v>
      </c>
    </row>
    <row r="45" spans="1:17" ht="28.5" customHeight="1" thickBot="1">
      <c r="A45" s="107"/>
      <c r="B45" s="45" t="s">
        <v>58</v>
      </c>
      <c r="C45" s="45"/>
      <c r="D45" s="104">
        <v>15</v>
      </c>
      <c r="E45" s="103">
        <f t="shared" si="26"/>
        <v>270</v>
      </c>
      <c r="F45" s="104">
        <v>15</v>
      </c>
      <c r="G45" s="103">
        <f t="shared" si="27"/>
        <v>270</v>
      </c>
      <c r="H45" s="82">
        <f t="shared" si="28"/>
        <v>0</v>
      </c>
      <c r="I45" s="103">
        <f t="shared" si="29"/>
        <v>0</v>
      </c>
      <c r="J45" s="104">
        <v>15</v>
      </c>
      <c r="K45" s="103">
        <f t="shared" si="30"/>
        <v>270</v>
      </c>
      <c r="L45" s="82">
        <f t="shared" si="31"/>
        <v>0</v>
      </c>
      <c r="M45" s="103">
        <f t="shared" si="32"/>
        <v>0</v>
      </c>
      <c r="N45" s="104">
        <v>15</v>
      </c>
      <c r="O45" s="103">
        <f t="shared" si="33"/>
        <v>270</v>
      </c>
      <c r="P45" s="104">
        <f t="shared" si="34"/>
        <v>0</v>
      </c>
      <c r="Q45" s="105">
        <f t="shared" si="35"/>
        <v>0</v>
      </c>
    </row>
    <row r="46" spans="1:17" s="51" customFormat="1" ht="26.25" customHeight="1" thickBot="1">
      <c r="A46" s="46">
        <v>3</v>
      </c>
      <c r="B46" s="47" t="s">
        <v>2</v>
      </c>
      <c r="C46" s="48" t="s">
        <v>56</v>
      </c>
      <c r="D46" s="165">
        <v>830</v>
      </c>
      <c r="E46" s="71">
        <v>1660</v>
      </c>
      <c r="F46" s="165">
        <v>830</v>
      </c>
      <c r="G46" s="71">
        <v>1660</v>
      </c>
      <c r="H46" s="72">
        <f t="shared" si="28"/>
        <v>0</v>
      </c>
      <c r="I46" s="71">
        <f t="shared" si="29"/>
        <v>0</v>
      </c>
      <c r="J46" s="165">
        <v>830</v>
      </c>
      <c r="K46" s="71">
        <v>1660</v>
      </c>
      <c r="L46" s="72">
        <f t="shared" si="31"/>
        <v>0</v>
      </c>
      <c r="M46" s="71">
        <f t="shared" si="32"/>
        <v>0</v>
      </c>
      <c r="N46" s="165">
        <v>830</v>
      </c>
      <c r="O46" s="71">
        <v>1660</v>
      </c>
      <c r="P46" s="98">
        <f t="shared" si="34"/>
        <v>0</v>
      </c>
      <c r="Q46" s="69">
        <f t="shared" si="35"/>
        <v>0</v>
      </c>
    </row>
    <row r="47" spans="1:17" ht="35.25" customHeight="1" thickBot="1">
      <c r="A47" s="8"/>
      <c r="B47" s="45" t="s">
        <v>61</v>
      </c>
      <c r="C47" s="45"/>
      <c r="D47" s="166">
        <v>830</v>
      </c>
      <c r="E47" s="103">
        <v>1660</v>
      </c>
      <c r="F47" s="166">
        <v>830</v>
      </c>
      <c r="G47" s="103">
        <v>1660</v>
      </c>
      <c r="H47" s="82">
        <f t="shared" si="28"/>
        <v>0</v>
      </c>
      <c r="I47" s="103">
        <f t="shared" si="29"/>
        <v>0</v>
      </c>
      <c r="J47" s="166">
        <v>830</v>
      </c>
      <c r="K47" s="103">
        <v>1660</v>
      </c>
      <c r="L47" s="82">
        <f t="shared" si="31"/>
        <v>0</v>
      </c>
      <c r="M47" s="103">
        <f t="shared" si="32"/>
        <v>0</v>
      </c>
      <c r="N47" s="166">
        <v>830</v>
      </c>
      <c r="O47" s="103">
        <v>1660</v>
      </c>
      <c r="P47" s="118">
        <f t="shared" si="34"/>
        <v>0</v>
      </c>
      <c r="Q47" s="110">
        <f t="shared" si="35"/>
        <v>0</v>
      </c>
    </row>
    <row r="48" spans="1:17" s="51" customFormat="1" ht="23.25" customHeight="1" thickBot="1">
      <c r="A48" s="46">
        <v>4</v>
      </c>
      <c r="B48" s="47" t="s">
        <v>3</v>
      </c>
      <c r="C48" s="48" t="s">
        <v>52</v>
      </c>
      <c r="D48" s="165">
        <f>+D49+D50+D51+D52</f>
        <v>127</v>
      </c>
      <c r="E48" s="167">
        <f>+E49+E50+E51+E52</f>
        <v>116650</v>
      </c>
      <c r="F48" s="165">
        <f>+F49+F50+F51+F52</f>
        <v>129</v>
      </c>
      <c r="G48" s="71">
        <f>+G49+G50+G51+G52</f>
        <v>116650</v>
      </c>
      <c r="H48" s="72">
        <f t="shared" si="28"/>
        <v>2</v>
      </c>
      <c r="I48" s="71">
        <f t="shared" si="29"/>
        <v>0</v>
      </c>
      <c r="J48" s="165">
        <f>+J49+J50+J51+J52</f>
        <v>129</v>
      </c>
      <c r="K48" s="71">
        <f>+K49+K50+K52+K51</f>
        <v>116650</v>
      </c>
      <c r="L48" s="72">
        <f t="shared" si="31"/>
        <v>0</v>
      </c>
      <c r="M48" s="71">
        <f t="shared" si="32"/>
        <v>0</v>
      </c>
      <c r="N48" s="174">
        <f>+N49+N50+N51+N52</f>
        <v>129</v>
      </c>
      <c r="O48" s="175">
        <f>+O49+O50+O52+O51</f>
        <v>116650</v>
      </c>
      <c r="P48" s="70">
        <f t="shared" si="34"/>
        <v>0</v>
      </c>
      <c r="Q48" s="69">
        <f t="shared" si="35"/>
        <v>0</v>
      </c>
    </row>
    <row r="49" spans="1:17" ht="18" customHeight="1">
      <c r="A49" s="119"/>
      <c r="B49" s="5" t="s">
        <v>33</v>
      </c>
      <c r="C49" s="5"/>
      <c r="D49" s="120">
        <v>95</v>
      </c>
      <c r="E49" s="103">
        <v>84550</v>
      </c>
      <c r="F49" s="120">
        <v>95</v>
      </c>
      <c r="G49" s="103">
        <v>84550</v>
      </c>
      <c r="H49" s="120">
        <f aca="true" t="shared" si="36" ref="H49:I67">+F49-D49</f>
        <v>0</v>
      </c>
      <c r="I49" s="103">
        <f t="shared" si="36"/>
        <v>0</v>
      </c>
      <c r="J49" s="120">
        <v>95</v>
      </c>
      <c r="K49" s="103">
        <v>84550</v>
      </c>
      <c r="L49" s="120">
        <f aca="true" t="shared" si="37" ref="L49:M67">+J49-F49</f>
        <v>0</v>
      </c>
      <c r="M49" s="120">
        <f t="shared" si="37"/>
        <v>0</v>
      </c>
      <c r="N49" s="120">
        <v>95</v>
      </c>
      <c r="O49" s="103">
        <v>84550</v>
      </c>
      <c r="P49" s="80">
        <f aca="true" t="shared" si="38" ref="P49:Q59">+N49-J49</f>
        <v>0</v>
      </c>
      <c r="Q49" s="106">
        <f t="shared" si="38"/>
        <v>0</v>
      </c>
    </row>
    <row r="50" spans="1:17" ht="18" customHeight="1">
      <c r="A50" s="121"/>
      <c r="B50" s="5" t="s">
        <v>25</v>
      </c>
      <c r="C50" s="5"/>
      <c r="D50" s="122">
        <v>22</v>
      </c>
      <c r="E50" s="105">
        <v>21360</v>
      </c>
      <c r="F50" s="122">
        <v>22</v>
      </c>
      <c r="G50" s="105">
        <v>21360</v>
      </c>
      <c r="H50" s="122">
        <f t="shared" si="36"/>
        <v>0</v>
      </c>
      <c r="I50" s="105">
        <f t="shared" si="36"/>
        <v>0</v>
      </c>
      <c r="J50" s="122">
        <v>22</v>
      </c>
      <c r="K50" s="105">
        <v>21360</v>
      </c>
      <c r="L50" s="122">
        <f t="shared" si="37"/>
        <v>0</v>
      </c>
      <c r="M50" s="122">
        <f t="shared" si="37"/>
        <v>0</v>
      </c>
      <c r="N50" s="122">
        <v>22</v>
      </c>
      <c r="O50" s="105">
        <v>21360</v>
      </c>
      <c r="P50" s="101">
        <f t="shared" si="38"/>
        <v>0</v>
      </c>
      <c r="Q50" s="106">
        <f t="shared" si="38"/>
        <v>0</v>
      </c>
    </row>
    <row r="51" spans="1:17" ht="27.75" customHeight="1">
      <c r="A51" s="121"/>
      <c r="B51" s="5" t="s">
        <v>31</v>
      </c>
      <c r="C51" s="5"/>
      <c r="D51" s="122">
        <v>2</v>
      </c>
      <c r="E51" s="105">
        <v>6120</v>
      </c>
      <c r="F51" s="122">
        <v>2</v>
      </c>
      <c r="G51" s="105">
        <v>6120</v>
      </c>
      <c r="H51" s="122">
        <f t="shared" si="36"/>
        <v>0</v>
      </c>
      <c r="I51" s="105">
        <f t="shared" si="36"/>
        <v>0</v>
      </c>
      <c r="J51" s="122">
        <v>2</v>
      </c>
      <c r="K51" s="105">
        <v>6120</v>
      </c>
      <c r="L51" s="122">
        <f t="shared" si="37"/>
        <v>0</v>
      </c>
      <c r="M51" s="123">
        <f t="shared" si="37"/>
        <v>0</v>
      </c>
      <c r="N51" s="122">
        <v>2</v>
      </c>
      <c r="O51" s="105">
        <v>6120</v>
      </c>
      <c r="P51" s="101">
        <f t="shared" si="38"/>
        <v>0</v>
      </c>
      <c r="Q51" s="106">
        <f t="shared" si="38"/>
        <v>0</v>
      </c>
    </row>
    <row r="52" spans="1:17" ht="20.25" customHeight="1" thickBot="1">
      <c r="A52" s="124"/>
      <c r="B52" s="125" t="s">
        <v>36</v>
      </c>
      <c r="C52" s="125"/>
      <c r="D52" s="126">
        <v>8</v>
      </c>
      <c r="E52" s="105">
        <v>4620</v>
      </c>
      <c r="F52" s="126">
        <v>10</v>
      </c>
      <c r="G52" s="105">
        <v>4620</v>
      </c>
      <c r="H52" s="126">
        <f t="shared" si="36"/>
        <v>2</v>
      </c>
      <c r="I52" s="105">
        <f t="shared" si="36"/>
        <v>0</v>
      </c>
      <c r="J52" s="126">
        <v>10</v>
      </c>
      <c r="K52" s="105">
        <v>4620</v>
      </c>
      <c r="L52" s="126">
        <f t="shared" si="37"/>
        <v>0</v>
      </c>
      <c r="M52" s="127">
        <f t="shared" si="37"/>
        <v>0</v>
      </c>
      <c r="N52" s="126">
        <v>10</v>
      </c>
      <c r="O52" s="105">
        <v>4620</v>
      </c>
      <c r="P52" s="104">
        <f t="shared" si="38"/>
        <v>0</v>
      </c>
      <c r="Q52" s="105">
        <f t="shared" si="38"/>
        <v>0</v>
      </c>
    </row>
    <row r="53" spans="1:17" s="51" customFormat="1" ht="15.75" customHeight="1" thickBot="1">
      <c r="A53" s="46">
        <v>5</v>
      </c>
      <c r="B53" s="57" t="s">
        <v>39</v>
      </c>
      <c r="C53" s="57" t="s">
        <v>57</v>
      </c>
      <c r="D53" s="72">
        <f>D54+D55+D56+D57+D58</f>
        <v>609</v>
      </c>
      <c r="E53" s="167">
        <f>E54+E55+E56+E57+E58</f>
        <v>18340.4</v>
      </c>
      <c r="F53" s="72">
        <f aca="true" t="shared" si="39" ref="F53:K53">F54+F55+F56+F57+F58+F59</f>
        <v>681</v>
      </c>
      <c r="G53" s="167">
        <f t="shared" si="39"/>
        <v>22499.8</v>
      </c>
      <c r="H53" s="72">
        <f t="shared" si="39"/>
        <v>72</v>
      </c>
      <c r="I53" s="167">
        <f t="shared" si="39"/>
        <v>4159.4</v>
      </c>
      <c r="J53" s="72">
        <f t="shared" si="39"/>
        <v>681</v>
      </c>
      <c r="K53" s="167">
        <f t="shared" si="39"/>
        <v>22499.8</v>
      </c>
      <c r="L53" s="72">
        <f aca="true" t="shared" si="40" ref="L53:Q53">L54+L55+L56+L57+L58</f>
        <v>0</v>
      </c>
      <c r="M53" s="167">
        <f t="shared" si="40"/>
        <v>0</v>
      </c>
      <c r="N53" s="72">
        <f>N54+N55+N56+N57+N58+N59</f>
        <v>681</v>
      </c>
      <c r="O53" s="167">
        <f>O54+O55+O56+O57+O58+O59</f>
        <v>22499.8</v>
      </c>
      <c r="P53" s="49">
        <f t="shared" si="40"/>
        <v>0</v>
      </c>
      <c r="Q53" s="54">
        <f t="shared" si="40"/>
        <v>0</v>
      </c>
    </row>
    <row r="54" spans="1:17" ht="25.5">
      <c r="A54" s="56"/>
      <c r="B54" s="5" t="s">
        <v>40</v>
      </c>
      <c r="C54" s="5"/>
      <c r="D54" s="80">
        <v>80</v>
      </c>
      <c r="E54" s="81">
        <v>1978.8</v>
      </c>
      <c r="F54" s="80">
        <v>80</v>
      </c>
      <c r="G54" s="81">
        <v>1978.8</v>
      </c>
      <c r="H54" s="128">
        <f t="shared" si="36"/>
        <v>0</v>
      </c>
      <c r="I54" s="103">
        <f t="shared" si="36"/>
        <v>0</v>
      </c>
      <c r="J54" s="80">
        <v>80</v>
      </c>
      <c r="K54" s="81">
        <v>1978.8</v>
      </c>
      <c r="L54" s="128">
        <f t="shared" si="37"/>
        <v>0</v>
      </c>
      <c r="M54" s="129">
        <f t="shared" si="37"/>
        <v>0</v>
      </c>
      <c r="N54" s="80">
        <v>80</v>
      </c>
      <c r="O54" s="81">
        <v>1978.8</v>
      </c>
      <c r="P54" s="80">
        <f t="shared" si="38"/>
        <v>0</v>
      </c>
      <c r="Q54" s="81">
        <f t="shared" si="38"/>
        <v>0</v>
      </c>
    </row>
    <row r="55" spans="1:17" ht="12.75">
      <c r="A55" s="6"/>
      <c r="B55" s="37" t="s">
        <v>41</v>
      </c>
      <c r="C55" s="37"/>
      <c r="D55" s="101">
        <v>109</v>
      </c>
      <c r="E55" s="102">
        <v>5972.8</v>
      </c>
      <c r="F55" s="101">
        <v>141</v>
      </c>
      <c r="G55" s="102">
        <v>8153.3</v>
      </c>
      <c r="H55" s="126">
        <f t="shared" si="36"/>
        <v>32</v>
      </c>
      <c r="I55" s="105">
        <f t="shared" si="36"/>
        <v>2180.5</v>
      </c>
      <c r="J55" s="101">
        <v>141</v>
      </c>
      <c r="K55" s="102">
        <v>8153.3</v>
      </c>
      <c r="L55" s="126">
        <f t="shared" si="37"/>
        <v>0</v>
      </c>
      <c r="M55" s="127">
        <f t="shared" si="37"/>
        <v>0</v>
      </c>
      <c r="N55" s="101">
        <v>141</v>
      </c>
      <c r="O55" s="102">
        <v>8153.3</v>
      </c>
      <c r="P55" s="101">
        <f t="shared" si="38"/>
        <v>0</v>
      </c>
      <c r="Q55" s="102">
        <f t="shared" si="38"/>
        <v>0</v>
      </c>
    </row>
    <row r="56" spans="1:17" ht="25.5">
      <c r="A56" s="6"/>
      <c r="B56" s="5" t="s">
        <v>58</v>
      </c>
      <c r="C56" s="44"/>
      <c r="D56" s="101">
        <v>30</v>
      </c>
      <c r="E56" s="102">
        <v>742.1</v>
      </c>
      <c r="F56" s="101">
        <v>40</v>
      </c>
      <c r="G56" s="102">
        <v>989.5</v>
      </c>
      <c r="H56" s="126">
        <f t="shared" si="36"/>
        <v>10</v>
      </c>
      <c r="I56" s="105">
        <f t="shared" si="36"/>
        <v>247.39999999999998</v>
      </c>
      <c r="J56" s="101">
        <v>40</v>
      </c>
      <c r="K56" s="102">
        <v>989.5</v>
      </c>
      <c r="L56" s="126">
        <f t="shared" si="37"/>
        <v>0</v>
      </c>
      <c r="M56" s="127">
        <f t="shared" si="37"/>
        <v>0</v>
      </c>
      <c r="N56" s="101">
        <v>40</v>
      </c>
      <c r="O56" s="102">
        <v>989.5</v>
      </c>
      <c r="P56" s="101">
        <f t="shared" si="38"/>
        <v>0</v>
      </c>
      <c r="Q56" s="102">
        <f t="shared" si="38"/>
        <v>0</v>
      </c>
    </row>
    <row r="57" spans="1:17" ht="12.75">
      <c r="A57" s="6"/>
      <c r="B57" s="37" t="s">
        <v>42</v>
      </c>
      <c r="C57" s="37"/>
      <c r="D57" s="101">
        <v>375</v>
      </c>
      <c r="E57" s="102">
        <v>9275.6</v>
      </c>
      <c r="F57" s="101">
        <v>375</v>
      </c>
      <c r="G57" s="102">
        <v>9275.6</v>
      </c>
      <c r="H57" s="126">
        <f t="shared" si="36"/>
        <v>0</v>
      </c>
      <c r="I57" s="105">
        <f t="shared" si="36"/>
        <v>0</v>
      </c>
      <c r="J57" s="101">
        <v>375</v>
      </c>
      <c r="K57" s="102">
        <v>9275.6</v>
      </c>
      <c r="L57" s="126">
        <f t="shared" si="37"/>
        <v>0</v>
      </c>
      <c r="M57" s="127">
        <f t="shared" si="37"/>
        <v>0</v>
      </c>
      <c r="N57" s="101">
        <v>375</v>
      </c>
      <c r="O57" s="102">
        <v>9275.6</v>
      </c>
      <c r="P57" s="101">
        <f t="shared" si="38"/>
        <v>0</v>
      </c>
      <c r="Q57" s="102">
        <f t="shared" si="38"/>
        <v>0</v>
      </c>
    </row>
    <row r="58" spans="1:17" ht="25.5">
      <c r="A58" s="58"/>
      <c r="B58" s="45" t="s">
        <v>68</v>
      </c>
      <c r="C58" s="59"/>
      <c r="D58" s="104">
        <v>15</v>
      </c>
      <c r="E58" s="105">
        <v>371.1</v>
      </c>
      <c r="F58" s="104">
        <v>15</v>
      </c>
      <c r="G58" s="105">
        <v>371.1</v>
      </c>
      <c r="H58" s="126">
        <f t="shared" si="36"/>
        <v>0</v>
      </c>
      <c r="I58" s="105">
        <f t="shared" si="36"/>
        <v>0</v>
      </c>
      <c r="J58" s="104">
        <v>15</v>
      </c>
      <c r="K58" s="105">
        <v>371.1</v>
      </c>
      <c r="L58" s="126">
        <f t="shared" si="37"/>
        <v>0</v>
      </c>
      <c r="M58" s="127">
        <f t="shared" si="37"/>
        <v>0</v>
      </c>
      <c r="N58" s="104">
        <v>15</v>
      </c>
      <c r="O58" s="105">
        <v>371.1</v>
      </c>
      <c r="P58" s="104">
        <f t="shared" si="38"/>
        <v>0</v>
      </c>
      <c r="Q58" s="105">
        <f t="shared" si="38"/>
        <v>0</v>
      </c>
    </row>
    <row r="59" spans="1:17" ht="39.75" customHeight="1" thickBot="1">
      <c r="A59" s="6"/>
      <c r="B59" s="164" t="s">
        <v>81</v>
      </c>
      <c r="C59" s="37"/>
      <c r="D59" s="101"/>
      <c r="E59" s="102"/>
      <c r="F59" s="101">
        <v>30</v>
      </c>
      <c r="G59" s="102">
        <v>1731.5</v>
      </c>
      <c r="H59" s="126">
        <f t="shared" si="36"/>
        <v>30</v>
      </c>
      <c r="I59" s="105">
        <f t="shared" si="36"/>
        <v>1731.5</v>
      </c>
      <c r="J59" s="101">
        <v>30</v>
      </c>
      <c r="K59" s="102">
        <v>1731.5</v>
      </c>
      <c r="L59" s="126">
        <f t="shared" si="37"/>
        <v>0</v>
      </c>
      <c r="M59" s="127">
        <f t="shared" si="37"/>
        <v>0</v>
      </c>
      <c r="N59" s="101">
        <v>30</v>
      </c>
      <c r="O59" s="102">
        <v>1731.5</v>
      </c>
      <c r="P59" s="104">
        <f t="shared" si="38"/>
        <v>0</v>
      </c>
      <c r="Q59" s="105">
        <f t="shared" si="38"/>
        <v>0</v>
      </c>
    </row>
    <row r="60" spans="1:17" s="51" customFormat="1" ht="13.5" thickBot="1">
      <c r="A60" s="160">
        <v>6</v>
      </c>
      <c r="B60" s="161" t="s">
        <v>43</v>
      </c>
      <c r="C60" s="161" t="s">
        <v>57</v>
      </c>
      <c r="D60" s="79">
        <f aca="true" t="shared" si="41" ref="D60:Q60">D62+D63+D64+D65</f>
        <v>504</v>
      </c>
      <c r="E60" s="4">
        <f t="shared" si="41"/>
        <v>19031</v>
      </c>
      <c r="F60" s="79">
        <f t="shared" si="41"/>
        <v>528</v>
      </c>
      <c r="G60" s="4">
        <f t="shared" si="41"/>
        <v>20935.6</v>
      </c>
      <c r="H60" s="79">
        <f t="shared" si="41"/>
        <v>24</v>
      </c>
      <c r="I60" s="4">
        <f t="shared" si="41"/>
        <v>1904.6000000000004</v>
      </c>
      <c r="J60" s="79">
        <f t="shared" si="41"/>
        <v>528</v>
      </c>
      <c r="K60" s="4">
        <f t="shared" si="41"/>
        <v>20935.6</v>
      </c>
      <c r="L60" s="79">
        <f t="shared" si="41"/>
        <v>0</v>
      </c>
      <c r="M60" s="4">
        <f t="shared" si="41"/>
        <v>0</v>
      </c>
      <c r="N60" s="79">
        <f t="shared" si="41"/>
        <v>528</v>
      </c>
      <c r="O60" s="4">
        <f t="shared" si="41"/>
        <v>20935.6</v>
      </c>
      <c r="P60" s="162">
        <f t="shared" si="41"/>
        <v>0</v>
      </c>
      <c r="Q60" s="163">
        <f t="shared" si="41"/>
        <v>0</v>
      </c>
    </row>
    <row r="61" spans="1:17" ht="12.75" hidden="1">
      <c r="A61" s="60"/>
      <c r="B61" s="61" t="s">
        <v>0</v>
      </c>
      <c r="C61" s="61"/>
      <c r="D61" s="61"/>
      <c r="E61" s="168">
        <f>SUM(E53:E60)</f>
        <v>55711.799999999996</v>
      </c>
      <c r="F61" s="168"/>
      <c r="G61" s="168">
        <f>SUM(G53:G60)</f>
        <v>65935.19999999998</v>
      </c>
      <c r="H61" s="168"/>
      <c r="I61" s="168">
        <f>SUM(I53:I60)</f>
        <v>10223.4</v>
      </c>
      <c r="J61" s="168"/>
      <c r="K61" s="168">
        <f>SUM(K53:K60)</f>
        <v>65935.19999999998</v>
      </c>
      <c r="L61" s="168"/>
      <c r="M61" s="168">
        <f>SUM(M53:M60)</f>
        <v>0</v>
      </c>
      <c r="N61" s="168"/>
      <c r="O61" s="168">
        <f>SUM(O53:O60)</f>
        <v>65935.19999999998</v>
      </c>
      <c r="P61" s="39"/>
      <c r="Q61" s="39">
        <f>SUM(Q53:Q60)</f>
        <v>0</v>
      </c>
    </row>
    <row r="62" spans="1:17" ht="25.5">
      <c r="A62" s="38"/>
      <c r="B62" s="5" t="s">
        <v>40</v>
      </c>
      <c r="C62" s="5"/>
      <c r="D62" s="101">
        <v>60</v>
      </c>
      <c r="E62" s="102">
        <v>1914.8</v>
      </c>
      <c r="F62" s="101">
        <v>60</v>
      </c>
      <c r="G62" s="102">
        <v>1914.8</v>
      </c>
      <c r="H62" s="126">
        <f t="shared" si="36"/>
        <v>0</v>
      </c>
      <c r="I62" s="105">
        <f t="shared" si="36"/>
        <v>0</v>
      </c>
      <c r="J62" s="101">
        <v>60</v>
      </c>
      <c r="K62" s="102">
        <v>1914.8</v>
      </c>
      <c r="L62" s="126">
        <f t="shared" si="37"/>
        <v>0</v>
      </c>
      <c r="M62" s="127">
        <f t="shared" si="37"/>
        <v>0</v>
      </c>
      <c r="N62" s="101">
        <v>60</v>
      </c>
      <c r="O62" s="102">
        <v>1914.8</v>
      </c>
      <c r="P62" s="101">
        <f aca="true" t="shared" si="42" ref="P62:Q67">+N62-J62</f>
        <v>0</v>
      </c>
      <c r="Q62" s="102">
        <f t="shared" si="42"/>
        <v>0</v>
      </c>
    </row>
    <row r="63" spans="1:17" ht="12.75">
      <c r="A63" s="38"/>
      <c r="B63" s="37" t="s">
        <v>41</v>
      </c>
      <c r="C63" s="37"/>
      <c r="D63" s="101">
        <v>80</v>
      </c>
      <c r="E63" s="102">
        <v>5499.9</v>
      </c>
      <c r="F63" s="101">
        <v>104</v>
      </c>
      <c r="G63" s="102">
        <v>7404.5</v>
      </c>
      <c r="H63" s="126">
        <f t="shared" si="36"/>
        <v>24</v>
      </c>
      <c r="I63" s="105">
        <f t="shared" si="36"/>
        <v>1904.6000000000004</v>
      </c>
      <c r="J63" s="101">
        <v>104</v>
      </c>
      <c r="K63" s="102">
        <v>7404.5</v>
      </c>
      <c r="L63" s="126">
        <f t="shared" si="37"/>
        <v>0</v>
      </c>
      <c r="M63" s="127">
        <f t="shared" si="37"/>
        <v>0</v>
      </c>
      <c r="N63" s="101">
        <v>104</v>
      </c>
      <c r="O63" s="102">
        <v>7404.5</v>
      </c>
      <c r="P63" s="101">
        <f t="shared" si="42"/>
        <v>0</v>
      </c>
      <c r="Q63" s="102">
        <f t="shared" si="42"/>
        <v>0</v>
      </c>
    </row>
    <row r="64" spans="1:17" ht="12.75">
      <c r="A64" s="38"/>
      <c r="B64" s="37" t="s">
        <v>67</v>
      </c>
      <c r="C64" s="37"/>
      <c r="D64" s="101">
        <v>350</v>
      </c>
      <c r="E64" s="102">
        <v>11169.5</v>
      </c>
      <c r="F64" s="101">
        <v>350</v>
      </c>
      <c r="G64" s="102">
        <v>11169.5</v>
      </c>
      <c r="H64" s="126">
        <f t="shared" si="36"/>
        <v>0</v>
      </c>
      <c r="I64" s="105">
        <f t="shared" si="36"/>
        <v>0</v>
      </c>
      <c r="J64" s="101">
        <v>350</v>
      </c>
      <c r="K64" s="102">
        <v>11169.5</v>
      </c>
      <c r="L64" s="126">
        <f t="shared" si="37"/>
        <v>0</v>
      </c>
      <c r="M64" s="127">
        <f t="shared" si="37"/>
        <v>0</v>
      </c>
      <c r="N64" s="101">
        <v>350</v>
      </c>
      <c r="O64" s="102">
        <v>11169.5</v>
      </c>
      <c r="P64" s="101">
        <f t="shared" si="42"/>
        <v>0</v>
      </c>
      <c r="Q64" s="102">
        <f t="shared" si="42"/>
        <v>0</v>
      </c>
    </row>
    <row r="65" spans="1:17" ht="26.25" thickBot="1">
      <c r="A65" s="62"/>
      <c r="B65" s="45" t="s">
        <v>68</v>
      </c>
      <c r="C65" s="63"/>
      <c r="D65" s="104">
        <v>14</v>
      </c>
      <c r="E65" s="105">
        <v>446.8</v>
      </c>
      <c r="F65" s="104">
        <v>14</v>
      </c>
      <c r="G65" s="105">
        <v>446.8</v>
      </c>
      <c r="H65" s="126">
        <f t="shared" si="36"/>
        <v>0</v>
      </c>
      <c r="I65" s="105">
        <f t="shared" si="36"/>
        <v>0</v>
      </c>
      <c r="J65" s="104">
        <v>14</v>
      </c>
      <c r="K65" s="105">
        <v>446.8</v>
      </c>
      <c r="L65" s="126">
        <f t="shared" si="37"/>
        <v>0</v>
      </c>
      <c r="M65" s="127">
        <f t="shared" si="37"/>
        <v>0</v>
      </c>
      <c r="N65" s="104">
        <v>14</v>
      </c>
      <c r="O65" s="105">
        <v>446.8</v>
      </c>
      <c r="P65" s="104">
        <f t="shared" si="42"/>
        <v>0</v>
      </c>
      <c r="Q65" s="105">
        <f t="shared" si="42"/>
        <v>0</v>
      </c>
    </row>
    <row r="66" spans="1:17" s="67" customFormat="1" ht="26.25" thickBot="1">
      <c r="A66" s="144">
        <v>7</v>
      </c>
      <c r="B66" s="47" t="s">
        <v>78</v>
      </c>
      <c r="C66" s="57"/>
      <c r="D66" s="169"/>
      <c r="E66" s="170"/>
      <c r="F66" s="72">
        <v>5</v>
      </c>
      <c r="G66" s="171">
        <v>740.4</v>
      </c>
      <c r="H66" s="147">
        <f t="shared" si="36"/>
        <v>5</v>
      </c>
      <c r="I66" s="115">
        <f t="shared" si="36"/>
        <v>740.4</v>
      </c>
      <c r="J66" s="72">
        <v>5</v>
      </c>
      <c r="K66" s="171">
        <v>740.4</v>
      </c>
      <c r="L66" s="145">
        <f t="shared" si="37"/>
        <v>0</v>
      </c>
      <c r="M66" s="148">
        <f t="shared" si="37"/>
        <v>0</v>
      </c>
      <c r="N66" s="72">
        <v>5</v>
      </c>
      <c r="O66" s="171">
        <v>740.4</v>
      </c>
      <c r="P66" s="149">
        <f t="shared" si="42"/>
        <v>0</v>
      </c>
      <c r="Q66" s="146">
        <f t="shared" si="42"/>
        <v>0</v>
      </c>
    </row>
    <row r="67" spans="1:17" ht="46.5" customHeight="1" thickBot="1">
      <c r="A67" s="60"/>
      <c r="B67" s="5" t="s">
        <v>80</v>
      </c>
      <c r="C67" s="61" t="s">
        <v>52</v>
      </c>
      <c r="D67" s="80"/>
      <c r="E67" s="81"/>
      <c r="F67" s="80">
        <v>5</v>
      </c>
      <c r="G67" s="81">
        <v>740.4</v>
      </c>
      <c r="H67" s="126">
        <f t="shared" si="36"/>
        <v>5</v>
      </c>
      <c r="I67" s="105">
        <f t="shared" si="36"/>
        <v>740.4</v>
      </c>
      <c r="J67" s="80">
        <v>5</v>
      </c>
      <c r="K67" s="81">
        <v>740.4</v>
      </c>
      <c r="L67" s="120">
        <f t="shared" si="37"/>
        <v>0</v>
      </c>
      <c r="M67" s="143">
        <f t="shared" si="37"/>
        <v>0</v>
      </c>
      <c r="N67" s="80">
        <v>5</v>
      </c>
      <c r="O67" s="81">
        <v>740.4</v>
      </c>
      <c r="P67" s="80">
        <f t="shared" si="42"/>
        <v>0</v>
      </c>
      <c r="Q67" s="81">
        <f t="shared" si="42"/>
        <v>0</v>
      </c>
    </row>
    <row r="68" spans="1:17" s="67" customFormat="1" ht="13.5" thickBot="1">
      <c r="A68" s="152"/>
      <c r="B68" s="153" t="s">
        <v>5</v>
      </c>
      <c r="C68" s="57"/>
      <c r="D68" s="57"/>
      <c r="E68" s="65">
        <f>E30+E5+E29</f>
        <v>1202986.825</v>
      </c>
      <c r="F68" s="66"/>
      <c r="G68" s="151">
        <f>G30+G5+G29</f>
        <v>1174457.9170000001</v>
      </c>
      <c r="H68" s="64"/>
      <c r="I68" s="151">
        <f>I30+I5+I29</f>
        <v>-28528.907999999952</v>
      </c>
      <c r="J68" s="150"/>
      <c r="K68" s="151">
        <f>K30+K5+K29</f>
        <v>1167998.107</v>
      </c>
      <c r="L68" s="142"/>
      <c r="M68" s="151">
        <f>M30+M5+M29</f>
        <v>-6459.809999999998</v>
      </c>
      <c r="N68" s="142"/>
      <c r="O68" s="141">
        <f>O30+O5+O29</f>
        <v>1153530.2969999998</v>
      </c>
      <c r="P68" s="142"/>
      <c r="Q68" s="151">
        <f>Q30+Q5+Q29</f>
        <v>-14467.809999999998</v>
      </c>
    </row>
    <row r="69" spans="1:17" s="133" customFormat="1" ht="12.75">
      <c r="A69" s="130"/>
      <c r="B69" s="131"/>
      <c r="C69" s="131"/>
      <c r="D69" s="131"/>
      <c r="E69" s="132"/>
      <c r="F69" s="130"/>
      <c r="G69" s="132"/>
      <c r="H69" s="130"/>
      <c r="I69" s="132"/>
      <c r="J69" s="130"/>
      <c r="K69" s="132"/>
      <c r="L69" s="130"/>
      <c r="M69" s="132"/>
      <c r="N69" s="130"/>
      <c r="O69" s="132"/>
      <c r="P69" s="130"/>
      <c r="Q69" s="132"/>
    </row>
    <row r="70" spans="1:17" s="133" customFormat="1" ht="12.75">
      <c r="A70" s="130"/>
      <c r="B70" s="131"/>
      <c r="C70" s="131"/>
      <c r="D70" s="131"/>
      <c r="E70" s="132"/>
      <c r="F70" s="130"/>
      <c r="G70" s="132"/>
      <c r="H70" s="130"/>
      <c r="I70" s="132"/>
      <c r="J70" s="130"/>
      <c r="K70" s="132"/>
      <c r="L70" s="130"/>
      <c r="M70" s="132"/>
      <c r="N70" s="130"/>
      <c r="O70" s="132"/>
      <c r="P70" s="130"/>
      <c r="Q70" s="132"/>
    </row>
  </sheetData>
  <sheetProtection/>
  <mergeCells count="12">
    <mergeCell ref="N3:O3"/>
    <mergeCell ref="H3:I3"/>
    <mergeCell ref="L3:M3"/>
    <mergeCell ref="P3:Q3"/>
    <mergeCell ref="A1:Q1"/>
    <mergeCell ref="A2:O2"/>
    <mergeCell ref="A3:A4"/>
    <mergeCell ref="B3:B4"/>
    <mergeCell ref="D3:E3"/>
    <mergeCell ref="F3:G3"/>
    <mergeCell ref="J3:K3"/>
    <mergeCell ref="C3:C4"/>
  </mergeCells>
  <printOptions/>
  <pageMargins left="0" right="0.16" top="0.4" bottom="0.16" header="0.16" footer="0.1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3">
      <selection activeCell="I20" sqref="I20"/>
    </sheetView>
  </sheetViews>
  <sheetFormatPr defaultColWidth="9.140625" defaultRowHeight="12.75"/>
  <cols>
    <col min="1" max="1" width="4.421875" style="10" customWidth="1"/>
    <col min="2" max="2" width="25.140625" style="10" customWidth="1"/>
    <col min="3" max="3" width="10.7109375" style="10" customWidth="1"/>
    <col min="4" max="4" width="9.28125" style="10" customWidth="1"/>
    <col min="5" max="5" width="12.140625" style="10" customWidth="1"/>
    <col min="6" max="6" width="9.28125" style="10" customWidth="1"/>
    <col min="7" max="7" width="12.00390625" style="10" customWidth="1"/>
    <col min="8" max="8" width="9.28125" style="10" customWidth="1"/>
    <col min="9" max="9" width="11.140625" style="10" customWidth="1"/>
    <col min="10" max="10" width="9.28125" style="10" customWidth="1"/>
    <col min="11" max="11" width="12.421875" style="10" customWidth="1"/>
    <col min="12" max="12" width="9.28125" style="10" customWidth="1"/>
    <col min="13" max="13" width="13.28125" style="10" customWidth="1"/>
    <col min="14" max="14" width="9.28125" style="10" customWidth="1"/>
    <col min="15" max="15" width="12.421875" style="10" customWidth="1"/>
    <col min="16" max="16" width="9.28125" style="10" customWidth="1"/>
    <col min="17" max="17" width="11.140625" style="10" customWidth="1"/>
    <col min="18" max="16384" width="9.140625" style="10" customWidth="1"/>
  </cols>
  <sheetData>
    <row r="1" spans="16:17" ht="12.75">
      <c r="P1" s="191"/>
      <c r="Q1" s="191"/>
    </row>
    <row r="2" spans="16:17" ht="12.75">
      <c r="P2" s="191"/>
      <c r="Q2" s="191"/>
    </row>
    <row r="3" spans="1:17" s="1" customFormat="1" ht="18">
      <c r="A3" s="176" t="s">
        <v>69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spans="1:17" s="1" customFormat="1" ht="38.25" customHeight="1" thickBot="1">
      <c r="A4" s="177" t="s">
        <v>72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9"/>
      <c r="Q4" s="7"/>
    </row>
    <row r="5" spans="1:17" s="1" customFormat="1" ht="50.25" customHeight="1">
      <c r="A5" s="178" t="s">
        <v>48</v>
      </c>
      <c r="B5" s="180" t="s">
        <v>49</v>
      </c>
      <c r="C5" s="185" t="s">
        <v>50</v>
      </c>
      <c r="D5" s="182" t="s">
        <v>73</v>
      </c>
      <c r="E5" s="183"/>
      <c r="F5" s="184" t="s">
        <v>45</v>
      </c>
      <c r="G5" s="184"/>
      <c r="H5" s="182" t="s">
        <v>74</v>
      </c>
      <c r="I5" s="183"/>
      <c r="J5" s="184" t="s">
        <v>70</v>
      </c>
      <c r="K5" s="184"/>
      <c r="L5" s="182" t="s">
        <v>71</v>
      </c>
      <c r="M5" s="183"/>
      <c r="N5" s="184" t="s">
        <v>76</v>
      </c>
      <c r="O5" s="187"/>
      <c r="P5" s="182" t="s">
        <v>77</v>
      </c>
      <c r="Q5" s="183"/>
    </row>
    <row r="6" spans="1:17" s="1" customFormat="1" ht="45" customHeight="1" thickBot="1">
      <c r="A6" s="179"/>
      <c r="B6" s="181"/>
      <c r="C6" s="186"/>
      <c r="D6" s="2" t="s">
        <v>51</v>
      </c>
      <c r="E6" s="2" t="s">
        <v>4</v>
      </c>
      <c r="F6" s="2" t="s">
        <v>51</v>
      </c>
      <c r="G6" s="2" t="s">
        <v>4</v>
      </c>
      <c r="H6" s="2" t="s">
        <v>51</v>
      </c>
      <c r="I6" s="2" t="s">
        <v>4</v>
      </c>
      <c r="J6" s="2" t="s">
        <v>51</v>
      </c>
      <c r="K6" s="2" t="s">
        <v>4</v>
      </c>
      <c r="L6" s="2" t="s">
        <v>51</v>
      </c>
      <c r="M6" s="2" t="s">
        <v>4</v>
      </c>
      <c r="N6" s="2" t="s">
        <v>51</v>
      </c>
      <c r="O6" s="3" t="s">
        <v>4</v>
      </c>
      <c r="P6" s="2" t="s">
        <v>51</v>
      </c>
      <c r="Q6" s="2" t="s">
        <v>4</v>
      </c>
    </row>
    <row r="7" spans="1:17" ht="38.25" customHeight="1" thickBot="1">
      <c r="A7" s="11">
        <v>1</v>
      </c>
      <c r="B7" s="12" t="s">
        <v>7</v>
      </c>
      <c r="C7" s="12"/>
      <c r="D7" s="29">
        <f aca="true" t="shared" si="0" ref="D7:P7">SUM(D8:D11)</f>
        <v>794</v>
      </c>
      <c r="E7" s="13">
        <f t="shared" si="0"/>
        <v>906633.7000000001</v>
      </c>
      <c r="F7" s="29">
        <f t="shared" si="0"/>
        <v>829</v>
      </c>
      <c r="G7" s="13">
        <f>SUM(G8:G11)</f>
        <v>872565.1000000001</v>
      </c>
      <c r="H7" s="29">
        <f t="shared" si="0"/>
        <v>35</v>
      </c>
      <c r="I7" s="13">
        <f>SUM(I8:I11)</f>
        <v>-34068.6</v>
      </c>
      <c r="J7" s="29">
        <f t="shared" si="0"/>
        <v>822</v>
      </c>
      <c r="K7" s="13">
        <f>SUM(K8:K11)</f>
        <v>871984.7</v>
      </c>
      <c r="L7" s="29">
        <f t="shared" si="0"/>
        <v>-7</v>
      </c>
      <c r="M7" s="13">
        <f>SUM(M8:M11)</f>
        <v>-580.3999999999796</v>
      </c>
      <c r="N7" s="29">
        <f t="shared" si="0"/>
        <v>812</v>
      </c>
      <c r="O7" s="13">
        <f>SUM(O8:O11)</f>
        <v>870399.1</v>
      </c>
      <c r="P7" s="29">
        <f t="shared" si="0"/>
        <v>-10</v>
      </c>
      <c r="Q7" s="13">
        <f>SUM(Q8:Q11)</f>
        <v>-1585.5999999999985</v>
      </c>
    </row>
    <row r="8" spans="1:17" ht="24" customHeight="1">
      <c r="A8" s="14">
        <v>1.1</v>
      </c>
      <c r="B8" s="15" t="s">
        <v>7</v>
      </c>
      <c r="C8" s="188" t="s">
        <v>52</v>
      </c>
      <c r="D8" s="16">
        <v>316</v>
      </c>
      <c r="E8" s="17">
        <v>625111.8</v>
      </c>
      <c r="F8" s="16">
        <v>342</v>
      </c>
      <c r="G8" s="17">
        <v>597129.4</v>
      </c>
      <c r="H8" s="16">
        <f aca="true" t="shared" si="1" ref="H8:I12">+F8-D8</f>
        <v>26</v>
      </c>
      <c r="I8" s="17">
        <f t="shared" si="1"/>
        <v>-27982.400000000023</v>
      </c>
      <c r="J8" s="16">
        <v>342</v>
      </c>
      <c r="K8" s="17">
        <v>597129.3</v>
      </c>
      <c r="L8" s="16">
        <f aca="true" t="shared" si="2" ref="L8:M12">+J8-F8</f>
        <v>0</v>
      </c>
      <c r="M8" s="17">
        <f t="shared" si="2"/>
        <v>-0.09999999997671694</v>
      </c>
      <c r="N8" s="16">
        <v>342</v>
      </c>
      <c r="O8" s="17">
        <v>597129.3</v>
      </c>
      <c r="P8" s="16">
        <f aca="true" t="shared" si="3" ref="P8:Q12">+N8-J8</f>
        <v>0</v>
      </c>
      <c r="Q8" s="17">
        <f t="shared" si="3"/>
        <v>0</v>
      </c>
    </row>
    <row r="9" spans="1:17" ht="22.5" customHeight="1">
      <c r="A9" s="18">
        <v>1.2</v>
      </c>
      <c r="B9" s="19" t="s">
        <v>44</v>
      </c>
      <c r="C9" s="189"/>
      <c r="D9" s="20">
        <v>177</v>
      </c>
      <c r="E9" s="21">
        <v>246506.8</v>
      </c>
      <c r="F9" s="16">
        <v>171</v>
      </c>
      <c r="G9" s="17">
        <v>237944.7</v>
      </c>
      <c r="H9" s="16">
        <f t="shared" si="1"/>
        <v>-6</v>
      </c>
      <c r="I9" s="17">
        <f t="shared" si="1"/>
        <v>-8562.099999999977</v>
      </c>
      <c r="J9" s="16">
        <v>171</v>
      </c>
      <c r="K9" s="17">
        <v>237944.7</v>
      </c>
      <c r="L9" s="16">
        <f t="shared" si="2"/>
        <v>0</v>
      </c>
      <c r="M9" s="17">
        <f t="shared" si="2"/>
        <v>0</v>
      </c>
      <c r="N9" s="16">
        <v>171</v>
      </c>
      <c r="O9" s="17">
        <v>237944.7</v>
      </c>
      <c r="P9" s="16">
        <f t="shared" si="3"/>
        <v>0</v>
      </c>
      <c r="Q9" s="17">
        <f t="shared" si="3"/>
        <v>0</v>
      </c>
    </row>
    <row r="10" spans="1:17" ht="33" customHeight="1">
      <c r="A10" s="22">
        <v>1.3</v>
      </c>
      <c r="B10" s="23" t="s">
        <v>8</v>
      </c>
      <c r="C10" s="190"/>
      <c r="D10" s="24">
        <v>121</v>
      </c>
      <c r="E10" s="25">
        <v>34115.1</v>
      </c>
      <c r="F10" s="16">
        <v>136</v>
      </c>
      <c r="G10" s="25">
        <v>36591</v>
      </c>
      <c r="H10" s="16">
        <f t="shared" si="1"/>
        <v>15</v>
      </c>
      <c r="I10" s="17">
        <f t="shared" si="1"/>
        <v>2475.9000000000015</v>
      </c>
      <c r="J10" s="16">
        <v>129</v>
      </c>
      <c r="K10" s="25">
        <v>36010.7</v>
      </c>
      <c r="L10" s="16">
        <f t="shared" si="2"/>
        <v>-7</v>
      </c>
      <c r="M10" s="17">
        <f t="shared" si="2"/>
        <v>-580.3000000000029</v>
      </c>
      <c r="N10" s="16">
        <v>119</v>
      </c>
      <c r="O10" s="25">
        <v>34425.1</v>
      </c>
      <c r="P10" s="16">
        <f t="shared" si="3"/>
        <v>-10</v>
      </c>
      <c r="Q10" s="17">
        <f t="shared" si="3"/>
        <v>-1585.5999999999985</v>
      </c>
    </row>
    <row r="11" spans="1:17" ht="31.5" customHeight="1" thickBot="1">
      <c r="A11" s="22">
        <v>1.4</v>
      </c>
      <c r="B11" s="23" t="s">
        <v>9</v>
      </c>
      <c r="C11" s="84" t="s">
        <v>54</v>
      </c>
      <c r="D11" s="20">
        <v>180</v>
      </c>
      <c r="E11" s="21">
        <v>900</v>
      </c>
      <c r="F11" s="20">
        <v>180</v>
      </c>
      <c r="G11" s="21">
        <v>900</v>
      </c>
      <c r="H11" s="20">
        <f t="shared" si="1"/>
        <v>0</v>
      </c>
      <c r="I11" s="21">
        <f>+G11-E11</f>
        <v>0</v>
      </c>
      <c r="J11" s="20">
        <v>180</v>
      </c>
      <c r="K11" s="21">
        <v>900</v>
      </c>
      <c r="L11" s="20">
        <f t="shared" si="2"/>
        <v>0</v>
      </c>
      <c r="M11" s="21">
        <f t="shared" si="2"/>
        <v>0</v>
      </c>
      <c r="N11" s="20">
        <v>180</v>
      </c>
      <c r="O11" s="21">
        <v>900</v>
      </c>
      <c r="P11" s="20">
        <f t="shared" si="3"/>
        <v>0</v>
      </c>
      <c r="Q11" s="21">
        <f t="shared" si="3"/>
        <v>0</v>
      </c>
    </row>
    <row r="12" spans="1:17" s="93" customFormat="1" ht="27" customHeight="1" thickBot="1">
      <c r="A12" s="86">
        <v>2</v>
      </c>
      <c r="B12" s="87" t="s">
        <v>60</v>
      </c>
      <c r="C12" s="157" t="s">
        <v>52</v>
      </c>
      <c r="D12" s="29">
        <v>58</v>
      </c>
      <c r="E12" s="13">
        <v>47290.7</v>
      </c>
      <c r="F12" s="29">
        <v>58</v>
      </c>
      <c r="G12" s="13">
        <v>43830.1</v>
      </c>
      <c r="H12" s="29">
        <f t="shared" si="1"/>
        <v>0</v>
      </c>
      <c r="I12" s="13">
        <f>+G12-E12</f>
        <v>-3460.5999999999985</v>
      </c>
      <c r="J12" s="29">
        <v>41</v>
      </c>
      <c r="K12" s="13">
        <v>37416.6</v>
      </c>
      <c r="L12" s="29">
        <f t="shared" si="2"/>
        <v>-17</v>
      </c>
      <c r="M12" s="13">
        <f t="shared" si="2"/>
        <v>-6413.5</v>
      </c>
      <c r="N12" s="29">
        <v>41</v>
      </c>
      <c r="O12" s="13">
        <v>24534.4</v>
      </c>
      <c r="P12" s="92">
        <f t="shared" si="3"/>
        <v>0</v>
      </c>
      <c r="Q12" s="89">
        <f t="shared" si="3"/>
        <v>-12882.199999999997</v>
      </c>
    </row>
    <row r="13" spans="1:17" s="90" customFormat="1" ht="17.25" customHeight="1" thickBot="1">
      <c r="A13" s="86">
        <v>3</v>
      </c>
      <c r="B13" s="91" t="s">
        <v>1</v>
      </c>
      <c r="C13" s="91"/>
      <c r="D13" s="91"/>
      <c r="E13" s="89">
        <f>E14+E15+E16+E17+E18+E19+E20</f>
        <v>249062.4</v>
      </c>
      <c r="F13" s="88"/>
      <c r="G13" s="89">
        <f>G14+G15+G16+G17+G18+G19+G20</f>
        <v>258062.8</v>
      </c>
      <c r="H13" s="88"/>
      <c r="I13" s="89">
        <f>I14+I15+I16+I17+I18+I19+I20</f>
        <v>9000.399999999996</v>
      </c>
      <c r="J13" s="88"/>
      <c r="K13" s="89">
        <f>K14+K15+K16+K17+K18+K19+K20</f>
        <v>258596.8</v>
      </c>
      <c r="L13" s="88"/>
      <c r="M13" s="89">
        <f>M14+M15+M16+M17+M18+M19+M20</f>
        <v>534</v>
      </c>
      <c r="N13" s="88"/>
      <c r="O13" s="89">
        <f>O14+O15+O16+O17+O18+O19+O20</f>
        <v>258596.8</v>
      </c>
      <c r="P13" s="88"/>
      <c r="Q13" s="89">
        <f>Q14+Q15+Q16+Q17+Q18+Q19</f>
        <v>0</v>
      </c>
    </row>
    <row r="14" spans="1:17" ht="28.5" customHeight="1">
      <c r="A14" s="14">
        <v>2.1</v>
      </c>
      <c r="B14" s="15" t="s">
        <v>62</v>
      </c>
      <c r="C14" s="83" t="s">
        <v>55</v>
      </c>
      <c r="D14" s="16">
        <v>859</v>
      </c>
      <c r="E14" s="17">
        <v>90195</v>
      </c>
      <c r="F14" s="16">
        <v>883</v>
      </c>
      <c r="G14" s="17">
        <v>92715</v>
      </c>
      <c r="H14" s="16">
        <f aca="true" t="shared" si="4" ref="H14:I17">+F14-D14</f>
        <v>24</v>
      </c>
      <c r="I14" s="17">
        <f t="shared" si="4"/>
        <v>2520</v>
      </c>
      <c r="J14" s="16">
        <v>885</v>
      </c>
      <c r="K14" s="17">
        <v>92925</v>
      </c>
      <c r="L14" s="16">
        <f aca="true" t="shared" si="5" ref="L14:M17">+J14-F14</f>
        <v>2</v>
      </c>
      <c r="M14" s="17">
        <f t="shared" si="5"/>
        <v>210</v>
      </c>
      <c r="N14" s="16">
        <v>885</v>
      </c>
      <c r="O14" s="17">
        <v>92925</v>
      </c>
      <c r="P14" s="16">
        <f aca="true" t="shared" si="6" ref="P14:Q17">+N14-J14</f>
        <v>0</v>
      </c>
      <c r="Q14" s="17">
        <f t="shared" si="6"/>
        <v>0</v>
      </c>
    </row>
    <row r="15" spans="1:17" ht="28.5" customHeight="1">
      <c r="A15" s="18">
        <v>2.2</v>
      </c>
      <c r="B15" s="19" t="s">
        <v>63</v>
      </c>
      <c r="C15" s="83" t="s">
        <v>55</v>
      </c>
      <c r="D15" s="20">
        <v>177</v>
      </c>
      <c r="E15" s="21">
        <v>3186</v>
      </c>
      <c r="F15" s="20">
        <v>159</v>
      </c>
      <c r="G15" s="21">
        <v>2862</v>
      </c>
      <c r="H15" s="16">
        <f t="shared" si="4"/>
        <v>-18</v>
      </c>
      <c r="I15" s="17">
        <f t="shared" si="4"/>
        <v>-324</v>
      </c>
      <c r="J15" s="20">
        <v>177</v>
      </c>
      <c r="K15" s="21">
        <v>3186</v>
      </c>
      <c r="L15" s="16">
        <f t="shared" si="5"/>
        <v>18</v>
      </c>
      <c r="M15" s="17">
        <f t="shared" si="5"/>
        <v>324</v>
      </c>
      <c r="N15" s="20">
        <v>177</v>
      </c>
      <c r="O15" s="21">
        <v>3186</v>
      </c>
      <c r="P15" s="20">
        <f t="shared" si="6"/>
        <v>0</v>
      </c>
      <c r="Q15" s="21">
        <f t="shared" si="6"/>
        <v>0</v>
      </c>
    </row>
    <row r="16" spans="1:17" ht="28.5" customHeight="1">
      <c r="A16" s="22">
        <v>2.3</v>
      </c>
      <c r="B16" s="23" t="s">
        <v>64</v>
      </c>
      <c r="C16" s="85" t="s">
        <v>56</v>
      </c>
      <c r="D16" s="30">
        <v>830</v>
      </c>
      <c r="E16" s="25">
        <v>1660</v>
      </c>
      <c r="F16" s="30">
        <v>830</v>
      </c>
      <c r="G16" s="25">
        <v>1660</v>
      </c>
      <c r="H16" s="26">
        <f t="shared" si="4"/>
        <v>0</v>
      </c>
      <c r="I16" s="27">
        <f t="shared" si="4"/>
        <v>0</v>
      </c>
      <c r="J16" s="30">
        <v>830</v>
      </c>
      <c r="K16" s="25">
        <v>1660</v>
      </c>
      <c r="L16" s="26">
        <f t="shared" si="5"/>
        <v>0</v>
      </c>
      <c r="M16" s="27">
        <f t="shared" si="5"/>
        <v>0</v>
      </c>
      <c r="N16" s="30">
        <v>830</v>
      </c>
      <c r="O16" s="25">
        <v>1660</v>
      </c>
      <c r="P16" s="20">
        <f t="shared" si="6"/>
        <v>0</v>
      </c>
      <c r="Q16" s="21">
        <f t="shared" si="6"/>
        <v>0</v>
      </c>
    </row>
    <row r="17" spans="1:17" s="41" customFormat="1" ht="28.5" customHeight="1">
      <c r="A17" s="28">
        <v>2.4</v>
      </c>
      <c r="B17" s="19" t="s">
        <v>3</v>
      </c>
      <c r="C17" s="84" t="s">
        <v>52</v>
      </c>
      <c r="D17" s="28">
        <v>127</v>
      </c>
      <c r="E17" s="21">
        <v>116650</v>
      </c>
      <c r="F17" s="28">
        <v>129</v>
      </c>
      <c r="G17" s="21">
        <v>116650</v>
      </c>
      <c r="H17" s="20">
        <f t="shared" si="4"/>
        <v>2</v>
      </c>
      <c r="I17" s="21">
        <f t="shared" si="4"/>
        <v>0</v>
      </c>
      <c r="J17" s="28">
        <v>129</v>
      </c>
      <c r="K17" s="21">
        <v>116650</v>
      </c>
      <c r="L17" s="20">
        <f t="shared" si="5"/>
        <v>0</v>
      </c>
      <c r="M17" s="21">
        <f t="shared" si="5"/>
        <v>0</v>
      </c>
      <c r="N17" s="28">
        <v>129</v>
      </c>
      <c r="O17" s="21">
        <v>116650</v>
      </c>
      <c r="P17" s="20">
        <f t="shared" si="6"/>
        <v>0</v>
      </c>
      <c r="Q17" s="21">
        <f t="shared" si="6"/>
        <v>0</v>
      </c>
    </row>
    <row r="18" spans="1:17" s="41" customFormat="1" ht="16.5" customHeight="1">
      <c r="A18" s="28">
        <v>2.5</v>
      </c>
      <c r="B18" s="42" t="s">
        <v>65</v>
      </c>
      <c r="C18" s="28" t="s">
        <v>57</v>
      </c>
      <c r="D18" s="20">
        <v>609</v>
      </c>
      <c r="E18" s="21">
        <v>18340.4</v>
      </c>
      <c r="F18" s="20">
        <v>681</v>
      </c>
      <c r="G18" s="21">
        <v>22499.8</v>
      </c>
      <c r="H18" s="20">
        <f aca="true" t="shared" si="7" ref="H18:I20">+F18-D18</f>
        <v>72</v>
      </c>
      <c r="I18" s="21">
        <f t="shared" si="7"/>
        <v>4159.399999999998</v>
      </c>
      <c r="J18" s="20">
        <v>681</v>
      </c>
      <c r="K18" s="21">
        <v>22499.8</v>
      </c>
      <c r="L18" s="20">
        <f aca="true" t="shared" si="8" ref="L18:M20">+J18-F18</f>
        <v>0</v>
      </c>
      <c r="M18" s="21">
        <f t="shared" si="8"/>
        <v>0</v>
      </c>
      <c r="N18" s="20">
        <v>681</v>
      </c>
      <c r="O18" s="21">
        <v>22499.8</v>
      </c>
      <c r="P18" s="20">
        <f aca="true" t="shared" si="9" ref="P18:Q20">+N18-J18</f>
        <v>0</v>
      </c>
      <c r="Q18" s="21">
        <f t="shared" si="9"/>
        <v>0</v>
      </c>
    </row>
    <row r="19" spans="1:17" ht="19.5" customHeight="1">
      <c r="A19" s="43">
        <v>2.6</v>
      </c>
      <c r="B19" s="42" t="s">
        <v>66</v>
      </c>
      <c r="C19" s="28" t="s">
        <v>57</v>
      </c>
      <c r="D19" s="26">
        <v>504</v>
      </c>
      <c r="E19" s="27">
        <v>19031</v>
      </c>
      <c r="F19" s="20">
        <v>528</v>
      </c>
      <c r="G19" s="21">
        <v>20935.6</v>
      </c>
      <c r="H19" s="20">
        <f t="shared" si="7"/>
        <v>24</v>
      </c>
      <c r="I19" s="21">
        <f t="shared" si="7"/>
        <v>1904.5999999999985</v>
      </c>
      <c r="J19" s="20">
        <v>528</v>
      </c>
      <c r="K19" s="21">
        <v>20935.6</v>
      </c>
      <c r="L19" s="20">
        <f t="shared" si="8"/>
        <v>0</v>
      </c>
      <c r="M19" s="21">
        <f t="shared" si="8"/>
        <v>0</v>
      </c>
      <c r="N19" s="20">
        <v>528</v>
      </c>
      <c r="O19" s="21">
        <v>20935.6</v>
      </c>
      <c r="P19" s="20">
        <f t="shared" si="9"/>
        <v>0</v>
      </c>
      <c r="Q19" s="21">
        <f t="shared" si="9"/>
        <v>0</v>
      </c>
    </row>
    <row r="20" spans="1:17" s="94" customFormat="1" ht="41.25" customHeight="1" thickBot="1">
      <c r="A20" s="94">
        <v>2.7</v>
      </c>
      <c r="B20" s="156" t="s">
        <v>79</v>
      </c>
      <c r="C20" s="95" t="s">
        <v>52</v>
      </c>
      <c r="D20" s="95"/>
      <c r="E20" s="95"/>
      <c r="F20" s="20">
        <v>5</v>
      </c>
      <c r="G20" s="21">
        <v>740.4</v>
      </c>
      <c r="H20" s="20">
        <f t="shared" si="7"/>
        <v>5</v>
      </c>
      <c r="I20" s="21">
        <f t="shared" si="7"/>
        <v>740.4</v>
      </c>
      <c r="J20" s="20">
        <v>5</v>
      </c>
      <c r="K20" s="21">
        <v>740.4</v>
      </c>
      <c r="L20" s="20">
        <f t="shared" si="8"/>
        <v>0</v>
      </c>
      <c r="M20" s="21">
        <f t="shared" si="8"/>
        <v>0</v>
      </c>
      <c r="N20" s="20">
        <v>5</v>
      </c>
      <c r="O20" s="21">
        <v>740.4</v>
      </c>
      <c r="P20" s="20">
        <f t="shared" si="9"/>
        <v>0</v>
      </c>
      <c r="Q20" s="21">
        <f t="shared" si="9"/>
        <v>0</v>
      </c>
    </row>
    <row r="21" spans="1:17" s="90" customFormat="1" ht="21.75" customHeight="1" thickBot="1">
      <c r="A21" s="96"/>
      <c r="B21" s="91" t="s">
        <v>0</v>
      </c>
      <c r="C21" s="91"/>
      <c r="D21" s="91"/>
      <c r="E21" s="97">
        <f>E13+E7+E12</f>
        <v>1202986.8</v>
      </c>
      <c r="F21" s="158"/>
      <c r="G21" s="159">
        <f>G13+G7+G12</f>
        <v>1174458.0000000002</v>
      </c>
      <c r="H21" s="158"/>
      <c r="I21" s="159">
        <f>I13+I7+I12</f>
        <v>-28528.800000000003</v>
      </c>
      <c r="J21" s="158"/>
      <c r="K21" s="159">
        <f>K13+K7+K12</f>
        <v>1167998.1</v>
      </c>
      <c r="L21" s="158"/>
      <c r="M21" s="159">
        <f>M13+M7+M12</f>
        <v>-6459.89999999998</v>
      </c>
      <c r="N21" s="158"/>
      <c r="O21" s="159">
        <f>O13+O7+O12</f>
        <v>1153530.2999999998</v>
      </c>
      <c r="P21" s="158"/>
      <c r="Q21" s="159">
        <f>Q13+Q7+Q12</f>
        <v>-14467.799999999996</v>
      </c>
    </row>
    <row r="22" spans="2:5" ht="12.75">
      <c r="B22" s="31"/>
      <c r="C22" s="31"/>
      <c r="D22" s="31"/>
      <c r="E22" s="31"/>
    </row>
    <row r="23" spans="2:17" ht="12.75" hidden="1">
      <c r="B23" s="31"/>
      <c r="C23" s="31"/>
      <c r="D23" s="31"/>
      <c r="E23" s="32">
        <f>901603.423-E21</f>
        <v>-301383.3770000001</v>
      </c>
      <c r="G23" s="33">
        <f>1216467.65918-G21</f>
        <v>42009.659179999726</v>
      </c>
      <c r="I23" s="33"/>
      <c r="K23" s="33">
        <f>1240899.18198-K21</f>
        <v>72901.08198000002</v>
      </c>
      <c r="M23" s="33"/>
      <c r="O23" s="33">
        <f>1272769.36198-O21</f>
        <v>119239.06198000023</v>
      </c>
      <c r="Q23" s="33"/>
    </row>
    <row r="24" spans="2:17" ht="12.75" hidden="1">
      <c r="B24" s="31"/>
      <c r="C24" s="31"/>
      <c r="D24" s="31"/>
      <c r="E24" s="34">
        <v>729499.9648</v>
      </c>
      <c r="F24" s="35"/>
      <c r="G24" s="35">
        <v>762130.67232</v>
      </c>
      <c r="H24" s="35"/>
      <c r="I24" s="35">
        <v>762130.67232</v>
      </c>
      <c r="J24" s="35"/>
      <c r="K24" s="35">
        <v>771765.4723200001</v>
      </c>
      <c r="L24" s="35"/>
      <c r="M24" s="35">
        <v>762130.67232</v>
      </c>
      <c r="N24" s="35"/>
      <c r="O24" s="35">
        <v>782737.07232</v>
      </c>
      <c r="P24" s="35"/>
      <c r="Q24" s="35">
        <v>762130.67232</v>
      </c>
    </row>
    <row r="25" spans="2:17" ht="12.75" hidden="1">
      <c r="B25" s="31"/>
      <c r="C25" s="31"/>
      <c r="D25" s="31"/>
      <c r="E25" s="36">
        <f>E21-E24</f>
        <v>473486.8352000001</v>
      </c>
      <c r="G25" s="36">
        <f>G21-G24</f>
        <v>412327.3276800002</v>
      </c>
      <c r="I25" s="36">
        <f>I21-I24</f>
        <v>-790659.4723200001</v>
      </c>
      <c r="K25" s="36">
        <f>K21-K24</f>
        <v>396232.62768000003</v>
      </c>
      <c r="M25" s="36">
        <f>M21-M24</f>
        <v>-768590.57232</v>
      </c>
      <c r="O25" s="36">
        <f>O21-O24</f>
        <v>370793.2276799998</v>
      </c>
      <c r="Q25" s="36">
        <f>Q21-Q24</f>
        <v>-776598.4723200001</v>
      </c>
    </row>
  </sheetData>
  <sheetProtection/>
  <mergeCells count="15">
    <mergeCell ref="P1:Q1"/>
    <mergeCell ref="P2:Q2"/>
    <mergeCell ref="P5:Q5"/>
    <mergeCell ref="A3:Q3"/>
    <mergeCell ref="A4:O4"/>
    <mergeCell ref="A5:A6"/>
    <mergeCell ref="B5:B6"/>
    <mergeCell ref="D5:E5"/>
    <mergeCell ref="C5:C6"/>
    <mergeCell ref="F5:G5"/>
    <mergeCell ref="J5:K5"/>
    <mergeCell ref="N5:O5"/>
    <mergeCell ref="H5:I5"/>
    <mergeCell ref="L5:M5"/>
    <mergeCell ref="C8:C10"/>
  </mergeCells>
  <printOptions/>
  <pageMargins left="0" right="0.16" top="0.45" bottom="0.44" header="0.31496062992126" footer="0.3149606299212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2019-04-29T13:25:16Z</cp:lastPrinted>
  <dcterms:created xsi:type="dcterms:W3CDTF">1996-10-14T23:33:28Z</dcterms:created>
  <dcterms:modified xsi:type="dcterms:W3CDTF">2019-04-29T13:26:55Z</dcterms:modified>
  <cp:category/>
  <cp:version/>
  <cp:contentType/>
  <cp:contentStatus/>
</cp:coreProperties>
</file>